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3-17 - w- time &amp; LGR-LGS s (2)" sheetId="1" r:id="rId1"/>
    <sheet name="smolt timing-LGR" sheetId="2" r:id="rId2"/>
  </sheets>
  <definedNames/>
  <calcPr fullCalcOnLoad="1"/>
</workbook>
</file>

<file path=xl/sharedStrings.xml><?xml version="1.0" encoding="utf-8"?>
<sst xmlns="http://schemas.openxmlformats.org/spreadsheetml/2006/main" count="146" uniqueCount="94">
  <si>
    <t>Avg. NPM catch below BON - 2000-2003</t>
  </si>
  <si>
    <t>Below-Granite NPM catch increase</t>
  </si>
  <si>
    <t>Smolt consumption per day by 4800</t>
  </si>
  <si>
    <t>Consumption as fraction of 56M</t>
  </si>
  <si>
    <t>Consumption, 192 days</t>
  </si>
  <si>
    <t>Increase in SNFAC smolts (134K) alive through estuary</t>
  </si>
  <si>
    <t>Total smolts, FPC Lower River FAC + Kim's # to below BON</t>
  </si>
  <si>
    <t>Migration year</t>
  </si>
  <si>
    <t>Releases</t>
  </si>
  <si>
    <t>25th %</t>
  </si>
  <si>
    <t>50th %</t>
  </si>
  <si>
    <t>75th %</t>
  </si>
  <si>
    <t>Detection at LGR</t>
  </si>
  <si>
    <t>Data source:</t>
  </si>
  <si>
    <t>GENMOD_FAC_AT_LGR.SAS</t>
  </si>
  <si>
    <t>Average</t>
  </si>
  <si>
    <t>Date</t>
  </si>
  <si>
    <t>Cum %</t>
  </si>
  <si>
    <t>LGR(greenbelt) weekly catch 2000-2003.xls</t>
  </si>
  <si>
    <t>Approx. Quartiles</t>
  </si>
  <si>
    <t>Average fish passage</t>
  </si>
  <si>
    <t>25th</t>
  </si>
  <si>
    <t>50th</t>
  </si>
  <si>
    <t>75th</t>
  </si>
  <si>
    <t>Average NPM catch</t>
  </si>
  <si>
    <t>NPM Catch Source:</t>
  </si>
  <si>
    <t>Smolts to LGR (3 Million / 4)</t>
  </si>
  <si>
    <t>Change in catch @ 5%</t>
  </si>
  <si>
    <t>Change in catch @ 11%</t>
  </si>
  <si>
    <t>5% heavy up, change in consumption</t>
  </si>
  <si>
    <t>11% heavy up, change in consumption</t>
  </si>
  <si>
    <t>Inputs</t>
  </si>
  <si>
    <t>NPM harvest timing</t>
  </si>
  <si>
    <t>25th percentile</t>
  </si>
  <si>
    <t>Data sources</t>
  </si>
  <si>
    <t>July2 - July 30</t>
  </si>
  <si>
    <t>Aug. 1- Aug. 30</t>
  </si>
  <si>
    <t>0th percentile</t>
  </si>
  <si>
    <t>Aug.30 - Sep. 30</t>
  </si>
  <si>
    <t>Oct. 1 - Oct. 30</t>
  </si>
  <si>
    <t>Smolt arrival at LGR</t>
  </si>
  <si>
    <t>April 1 - May 4</t>
  </si>
  <si>
    <t>May 5 - July 12</t>
  </si>
  <si>
    <t>Jul13 - July 25</t>
  </si>
  <si>
    <t>Smolt arrival at LGS</t>
  </si>
  <si>
    <t>FAC_AT_LGS.SAS</t>
  </si>
  <si>
    <t>April 1- May 7</t>
  </si>
  <si>
    <t>May 8 - July 16</t>
  </si>
  <si>
    <t>July 17 - July 29</t>
  </si>
  <si>
    <t>100th</t>
  </si>
  <si>
    <t>95th</t>
  </si>
  <si>
    <t>July 26-Aug. 24</t>
  </si>
  <si>
    <t>July 30 - Aug. 25</t>
  </si>
  <si>
    <t>Smolts entering LGR</t>
  </si>
  <si>
    <t>SIMPAS spreadsheet - approx. 1M listed wild + 2M hatchery</t>
  </si>
  <si>
    <t>Smolts entering LGS</t>
  </si>
  <si>
    <t>NPM smolt consumption rate per NPM per day</t>
  </si>
  <si>
    <t>3M * LGR pool-dam survival (0.613) * (1-0.53) - proportion trans. @ LGR - all from SIMPAS</t>
  </si>
  <si>
    <t>NPM Harvest Granite.xls</t>
  </si>
  <si>
    <t>""</t>
  </si>
  <si>
    <t>May 1  - July 1</t>
  </si>
  <si>
    <t>NPM average Greenbelt harvest</t>
  </si>
  <si>
    <t>Proportion in LGR</t>
  </si>
  <si>
    <t>Proportion in LGS</t>
  </si>
  <si>
    <t>(Smolt releases, mostly hatchery, 1995-2000)</t>
  </si>
  <si>
    <t>Outputs</t>
  </si>
  <si>
    <t>Total smolts at LGR</t>
  </si>
  <si>
    <t>Total smolts at LGS</t>
  </si>
  <si>
    <t>Note that last period is 95th, not 100th percentile</t>
  </si>
  <si>
    <t>Data sources and notes</t>
  </si>
  <si>
    <t>LGR NPM harvest quartiles</t>
  </si>
  <si>
    <t>0 - no effects of reduction, 1 - 25%, etc.</t>
  </si>
  <si>
    <t>LGS NPM harvest quartiles</t>
  </si>
  <si>
    <t>NPM quatile length (days)</t>
  </si>
  <si>
    <t>Approximate to nearest 30/60</t>
  </si>
  <si>
    <t>"", note that quartiles 3 &amp; 4 are not relevant for 1st year calcs.</t>
  </si>
  <si>
    <t>Note only partial overlap here</t>
  </si>
  <si>
    <t xml:space="preserve">LGR  </t>
  </si>
  <si>
    <t xml:space="preserve">LGS  </t>
  </si>
  <si>
    <t>NPM average harvest by pool</t>
  </si>
  <si>
    <t>NPM additional harvest by quartile</t>
  </si>
  <si>
    <t>Harvest scenario</t>
  </si>
  <si>
    <t>Note that numbers below are cumulative to end of year</t>
  </si>
  <si>
    <t>Harvest Quartile, LGR:</t>
  </si>
  <si>
    <t>Harvest Quartile, LGS</t>
  </si>
  <si>
    <t>Smolt consumption reduction per quartile</t>
  </si>
  <si>
    <t>LGR  increase in  listed smolts by passage quartile</t>
  </si>
  <si>
    <t>Note below depend on matching quartiles</t>
  </si>
  <si>
    <t>All quartiles summed</t>
  </si>
  <si>
    <t>LGS  increase in  listed smolts by passage quartile</t>
  </si>
  <si>
    <t>LGR increase + LGS increase to salt</t>
  </si>
  <si>
    <t>Note on below - different "conversion" rate for LGS vs. LGS</t>
  </si>
  <si>
    <t>Total, LGR, LGS, Estuary</t>
  </si>
  <si>
    <t>Skidmore pers. Comm. ODFW,  03/16/04; also reflects updated smolt indicies at LGR from FPC and updated length frequency data from catch since 2000.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</si>
</sst>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%"/>
    <numFmt numFmtId="166" formatCode="#,##0.0000"/>
    <numFmt numFmtId="167" formatCode="[$-409]d\-mmm;@"/>
    <numFmt numFmtId="168" formatCode="[$-409]dddd\,\ mmmm\ dd\,\ yyyy"/>
    <numFmt numFmtId="169" formatCode="0.0000%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166" fontId="1" fillId="0" borderId="0" xfId="0" applyNumberFormat="1" applyFont="1" applyAlignment="1">
      <alignment wrapText="1"/>
    </xf>
    <xf numFmtId="16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96" zoomScaleNormal="96" workbookViewId="0" topLeftCell="B13">
      <selection activeCell="C21" sqref="C21"/>
    </sheetView>
  </sheetViews>
  <sheetFormatPr defaultColWidth="9.140625" defaultRowHeight="12.75"/>
  <cols>
    <col min="1" max="1" width="30.57421875" style="1" customWidth="1"/>
    <col min="2" max="2" width="20.7109375" style="1" customWidth="1"/>
    <col min="3" max="3" width="52.28125" style="1" customWidth="1"/>
    <col min="4" max="4" width="3.8515625" style="1" customWidth="1"/>
    <col min="5" max="7" width="30.57421875" style="1" customWidth="1"/>
    <col min="8" max="16384" width="9.140625" style="1" customWidth="1"/>
  </cols>
  <sheetData>
    <row r="1" spans="1:5" ht="12.75">
      <c r="A1" s="13" t="s">
        <v>31</v>
      </c>
      <c r="C1" s="1" t="s">
        <v>69</v>
      </c>
      <c r="D1" s="3"/>
      <c r="E1" s="1" t="s">
        <v>80</v>
      </c>
    </row>
    <row r="2" spans="1:7" ht="12.75">
      <c r="A2" s="1" t="s">
        <v>40</v>
      </c>
      <c r="C2" s="1" t="s">
        <v>14</v>
      </c>
      <c r="D2" s="3"/>
      <c r="E2" s="1" t="s">
        <v>81</v>
      </c>
      <c r="F2" s="14">
        <v>0.05</v>
      </c>
      <c r="G2" s="14">
        <v>0.11</v>
      </c>
    </row>
    <row r="3" spans="1:7" ht="25.5">
      <c r="A3" s="1" t="s">
        <v>33</v>
      </c>
      <c r="B3" s="1" t="s">
        <v>41</v>
      </c>
      <c r="C3" s="1" t="s">
        <v>64</v>
      </c>
      <c r="D3" s="3"/>
      <c r="E3" s="1" t="s">
        <v>83</v>
      </c>
      <c r="G3" s="1" t="s">
        <v>82</v>
      </c>
    </row>
    <row r="4" spans="1:7" ht="12.75">
      <c r="A4" s="1" t="s">
        <v>22</v>
      </c>
      <c r="B4" s="1" t="s">
        <v>42</v>
      </c>
      <c r="C4" s="1" t="s">
        <v>59</v>
      </c>
      <c r="D4" s="3"/>
      <c r="E4" s="1">
        <v>0</v>
      </c>
      <c r="F4" s="15">
        <f>0.05/4*E4*B$52</f>
        <v>0</v>
      </c>
      <c r="G4" s="15">
        <f>0.11/4*E4*B$52</f>
        <v>0</v>
      </c>
    </row>
    <row r="5" spans="1:7" ht="12.75">
      <c r="A5" s="1" t="s">
        <v>23</v>
      </c>
      <c r="B5" s="1" t="s">
        <v>43</v>
      </c>
      <c r="C5" s="1" t="s">
        <v>59</v>
      </c>
      <c r="D5" s="3"/>
      <c r="E5" s="1">
        <v>1</v>
      </c>
      <c r="F5" s="15">
        <f>0.05/4*E5*B$52</f>
        <v>131.04152076203454</v>
      </c>
      <c r="G5" s="15">
        <f>0.11/4*E5*B$52</f>
        <v>288.29134567647594</v>
      </c>
    </row>
    <row r="6" spans="1:7" ht="12.75">
      <c r="A6" s="1" t="s">
        <v>50</v>
      </c>
      <c r="B6" s="1" t="s">
        <v>51</v>
      </c>
      <c r="C6" s="1" t="s">
        <v>59</v>
      </c>
      <c r="D6" s="3"/>
      <c r="E6" s="1">
        <v>2</v>
      </c>
      <c r="F6" s="15">
        <f>0.05/4*E6*B$52</f>
        <v>262.0830415240691</v>
      </c>
      <c r="G6" s="15">
        <f>0.11/4*E6*B$52</f>
        <v>576.5826913529519</v>
      </c>
    </row>
    <row r="7" spans="1:7" ht="12.75">
      <c r="A7" s="1" t="s">
        <v>44</v>
      </c>
      <c r="C7" s="1" t="s">
        <v>45</v>
      </c>
      <c r="D7" s="3"/>
      <c r="E7" s="1">
        <v>3</v>
      </c>
      <c r="F7" s="15">
        <f>0.05/4*E7*B$52</f>
        <v>393.12456228610364</v>
      </c>
      <c r="G7" s="15">
        <f>0.11/4*E7*B$52</f>
        <v>864.8740370294279</v>
      </c>
    </row>
    <row r="8" spans="1:7" ht="12.75">
      <c r="A8" s="1" t="s">
        <v>33</v>
      </c>
      <c r="B8" s="1" t="s">
        <v>46</v>
      </c>
      <c r="C8" s="1" t="s">
        <v>64</v>
      </c>
      <c r="D8" s="3"/>
      <c r="E8" s="1">
        <v>4</v>
      </c>
      <c r="F8" s="15">
        <f>0.05/4*E8*B$52</f>
        <v>524.1660830481381</v>
      </c>
      <c r="G8" s="15">
        <f>0.11/4*E8*B$52</f>
        <v>1153.1653827059038</v>
      </c>
    </row>
    <row r="9" spans="1:5" ht="12.75">
      <c r="A9" s="1" t="s">
        <v>22</v>
      </c>
      <c r="B9" s="1" t="s">
        <v>47</v>
      </c>
      <c r="C9" s="1" t="s">
        <v>59</v>
      </c>
      <c r="D9" s="3"/>
      <c r="E9" s="1" t="s">
        <v>84</v>
      </c>
    </row>
    <row r="10" spans="1:7" ht="12.75">
      <c r="A10" s="1" t="s">
        <v>23</v>
      </c>
      <c r="B10" s="1" t="s">
        <v>48</v>
      </c>
      <c r="C10" s="1" t="s">
        <v>59</v>
      </c>
      <c r="D10" s="3"/>
      <c r="E10" s="1">
        <v>0</v>
      </c>
      <c r="F10" s="15">
        <f>0.05/4*E10*B$53</f>
        <v>0</v>
      </c>
      <c r="G10" s="15">
        <f>0.11/4*E10*B$53</f>
        <v>0</v>
      </c>
    </row>
    <row r="11" spans="1:7" ht="12.75">
      <c r="A11" s="1" t="s">
        <v>50</v>
      </c>
      <c r="B11" s="1" t="s">
        <v>52</v>
      </c>
      <c r="C11" s="1" t="s">
        <v>59</v>
      </c>
      <c r="D11" s="3"/>
      <c r="E11" s="1">
        <v>1</v>
      </c>
      <c r="F11" s="15">
        <f>0.05/4*E11*B$53</f>
        <v>299.0241042379655</v>
      </c>
      <c r="G11" s="15">
        <f>0.11/4*E11*B$53</f>
        <v>657.8530293235241</v>
      </c>
    </row>
    <row r="12" spans="1:7" ht="12.75">
      <c r="A12" s="1" t="s">
        <v>53</v>
      </c>
      <c r="B12" s="2">
        <f>1051615+2050000</f>
        <v>3101615</v>
      </c>
      <c r="C12" s="1" t="s">
        <v>54</v>
      </c>
      <c r="D12" s="3"/>
      <c r="E12" s="1">
        <v>2</v>
      </c>
      <c r="F12" s="15">
        <f>0.05/4*E12*B$53</f>
        <v>598.048208475931</v>
      </c>
      <c r="G12" s="15">
        <f>0.11/4*E12*B$53</f>
        <v>1315.7060586470482</v>
      </c>
    </row>
    <row r="13" spans="1:7" ht="25.5">
      <c r="A13" s="1" t="s">
        <v>55</v>
      </c>
      <c r="B13" s="2">
        <f>B12*0.613*(1-0.53)</f>
        <v>893606.2976499998</v>
      </c>
      <c r="C13" s="1" t="s">
        <v>57</v>
      </c>
      <c r="D13" s="3"/>
      <c r="E13" s="1">
        <v>3</v>
      </c>
      <c r="F13" s="15">
        <f>0.05/4*E13*B$53</f>
        <v>897.0723127138966</v>
      </c>
      <c r="G13" s="15">
        <f>0.11/4*E13*B$53</f>
        <v>1973.5590879705724</v>
      </c>
    </row>
    <row r="14" spans="1:7" ht="38.25">
      <c r="A14" s="1" t="s">
        <v>56</v>
      </c>
      <c r="B14" s="1">
        <v>0.05</v>
      </c>
      <c r="C14" s="1" t="s">
        <v>93</v>
      </c>
      <c r="D14" s="3"/>
      <c r="E14" s="1">
        <v>4</v>
      </c>
      <c r="F14" s="15">
        <f>0.05/4*E14*B$53</f>
        <v>1196.096416951862</v>
      </c>
      <c r="G14" s="15">
        <f>0.11/4*E14*B$53</f>
        <v>2631.4121172940963</v>
      </c>
    </row>
    <row r="15" spans="1:5" ht="25.5">
      <c r="A15" s="1" t="s">
        <v>32</v>
      </c>
      <c r="C15" s="1" t="s">
        <v>34</v>
      </c>
      <c r="D15" s="3"/>
      <c r="E15" s="1" t="s">
        <v>85</v>
      </c>
    </row>
    <row r="16" spans="1:5" ht="12.75">
      <c r="A16" s="1" t="s">
        <v>37</v>
      </c>
      <c r="B16" s="1" t="s">
        <v>60</v>
      </c>
      <c r="C16" s="1" t="s">
        <v>18</v>
      </c>
      <c r="D16" s="3"/>
      <c r="E16" s="1" t="s">
        <v>83</v>
      </c>
    </row>
    <row r="17" spans="1:7" ht="12.75">
      <c r="A17" s="1" t="s">
        <v>33</v>
      </c>
      <c r="B17" s="1" t="s">
        <v>35</v>
      </c>
      <c r="C17" s="1" t="s">
        <v>59</v>
      </c>
      <c r="D17" s="3"/>
      <c r="E17" s="1">
        <v>0</v>
      </c>
      <c r="F17" s="2">
        <f aca="true" t="shared" si="0" ref="F17:G21">F4*$B$14*$B22</f>
        <v>0</v>
      </c>
      <c r="G17" s="2">
        <f t="shared" si="0"/>
        <v>0</v>
      </c>
    </row>
    <row r="18" spans="1:7" ht="12.75">
      <c r="A18" s="1" t="s">
        <v>22</v>
      </c>
      <c r="B18" s="1" t="s">
        <v>36</v>
      </c>
      <c r="C18" s="1" t="s">
        <v>59</v>
      </c>
      <c r="D18" s="3"/>
      <c r="E18" s="1">
        <v>1</v>
      </c>
      <c r="F18" s="2">
        <f t="shared" si="0"/>
        <v>196.56228114305182</v>
      </c>
      <c r="G18" s="2">
        <f t="shared" si="0"/>
        <v>432.43701851471394</v>
      </c>
    </row>
    <row r="19" spans="1:7" ht="12.75">
      <c r="A19" s="1" t="s">
        <v>23</v>
      </c>
      <c r="B19" s="1" t="s">
        <v>38</v>
      </c>
      <c r="C19" s="1" t="s">
        <v>75</v>
      </c>
      <c r="D19" s="3"/>
      <c r="E19" s="1">
        <v>2</v>
      </c>
      <c r="F19" s="2">
        <f t="shared" si="0"/>
        <v>393.12456228610364</v>
      </c>
      <c r="G19" s="2">
        <f t="shared" si="0"/>
        <v>864.8740370294279</v>
      </c>
    </row>
    <row r="20" spans="1:7" ht="12.75">
      <c r="A20" s="1" t="s">
        <v>49</v>
      </c>
      <c r="B20" s="1" t="s">
        <v>39</v>
      </c>
      <c r="C20" s="1" t="s">
        <v>59</v>
      </c>
      <c r="D20" s="3"/>
      <c r="E20" s="1">
        <v>3</v>
      </c>
      <c r="F20" s="2">
        <f t="shared" si="0"/>
        <v>589.6868434291555</v>
      </c>
      <c r="G20" s="2">
        <f t="shared" si="0"/>
        <v>1297.311055544142</v>
      </c>
    </row>
    <row r="21" spans="1:7" ht="12.75">
      <c r="A21" s="1" t="s">
        <v>73</v>
      </c>
      <c r="D21" s="3"/>
      <c r="E21" s="1">
        <v>4</v>
      </c>
      <c r="F21" s="2">
        <f t="shared" si="0"/>
        <v>786.2491245722073</v>
      </c>
      <c r="G21" s="2">
        <f t="shared" si="0"/>
        <v>1729.7480740588558</v>
      </c>
    </row>
    <row r="22" spans="1:5" ht="12.75">
      <c r="A22" s="1" t="s">
        <v>37</v>
      </c>
      <c r="B22" s="1">
        <v>60</v>
      </c>
      <c r="C22" s="1" t="s">
        <v>74</v>
      </c>
      <c r="D22" s="3"/>
      <c r="E22" s="1" t="s">
        <v>84</v>
      </c>
    </row>
    <row r="23" spans="1:7" ht="12.75">
      <c r="A23" s="1" t="s">
        <v>33</v>
      </c>
      <c r="B23" s="1">
        <v>30</v>
      </c>
      <c r="D23" s="3"/>
      <c r="E23" s="1">
        <v>0</v>
      </c>
      <c r="F23" s="2">
        <f aca="true" t="shared" si="1" ref="F23:G27">F10*$B$14*$B22</f>
        <v>0</v>
      </c>
      <c r="G23" s="2">
        <f t="shared" si="1"/>
        <v>0</v>
      </c>
    </row>
    <row r="24" spans="1:7" ht="12.75">
      <c r="A24" s="1" t="s">
        <v>22</v>
      </c>
      <c r="B24" s="1">
        <v>30</v>
      </c>
      <c r="D24" s="3"/>
      <c r="E24" s="1">
        <v>1</v>
      </c>
      <c r="F24" s="2">
        <f t="shared" si="1"/>
        <v>448.5361563569483</v>
      </c>
      <c r="G24" s="2">
        <f t="shared" si="1"/>
        <v>986.7795439852862</v>
      </c>
    </row>
    <row r="25" spans="1:7" ht="12.75">
      <c r="A25" s="1" t="s">
        <v>23</v>
      </c>
      <c r="B25" s="1">
        <v>30</v>
      </c>
      <c r="D25" s="3"/>
      <c r="E25" s="1">
        <v>2</v>
      </c>
      <c r="F25" s="2">
        <f t="shared" si="1"/>
        <v>897.0723127138966</v>
      </c>
      <c r="G25" s="2">
        <f t="shared" si="1"/>
        <v>1973.5590879705724</v>
      </c>
    </row>
    <row r="26" spans="1:7" ht="12.75">
      <c r="A26" s="1" t="s">
        <v>49</v>
      </c>
      <c r="B26" s="1">
        <v>30</v>
      </c>
      <c r="D26" s="3"/>
      <c r="E26" s="1">
        <v>3</v>
      </c>
      <c r="F26" s="2">
        <f t="shared" si="1"/>
        <v>1345.608469070845</v>
      </c>
      <c r="G26" s="2">
        <f t="shared" si="1"/>
        <v>2960.338631955859</v>
      </c>
    </row>
    <row r="27" spans="1:7" ht="12.75">
      <c r="A27" s="1" t="s">
        <v>61</v>
      </c>
      <c r="B27" s="2">
        <v>34405.25</v>
      </c>
      <c r="C27" s="1" t="s">
        <v>58</v>
      </c>
      <c r="D27" s="3"/>
      <c r="E27" s="1">
        <v>4</v>
      </c>
      <c r="F27" s="2">
        <f t="shared" si="1"/>
        <v>1794.1446254277932</v>
      </c>
      <c r="G27" s="2">
        <f t="shared" si="1"/>
        <v>3947.1181759411447</v>
      </c>
    </row>
    <row r="28" spans="1:6" ht="25.5">
      <c r="A28" s="1" t="s">
        <v>62</v>
      </c>
      <c r="B28" s="12">
        <f>1-B29</f>
        <v>0.30470122033593017</v>
      </c>
      <c r="C28" s="1" t="s">
        <v>59</v>
      </c>
      <c r="D28" s="3"/>
      <c r="E28" s="1" t="s">
        <v>86</v>
      </c>
      <c r="F28" s="1" t="s">
        <v>87</v>
      </c>
    </row>
    <row r="29" spans="1:7" ht="12.75">
      <c r="A29" s="1" t="s">
        <v>63</v>
      </c>
      <c r="B29" s="12">
        <v>0.6952987796640698</v>
      </c>
      <c r="C29" s="1" t="s">
        <v>59</v>
      </c>
      <c r="D29" s="3"/>
      <c r="E29" s="1">
        <v>1</v>
      </c>
      <c r="F29" s="15">
        <f>F23</f>
        <v>0</v>
      </c>
      <c r="G29" s="15">
        <f>G23</f>
        <v>0</v>
      </c>
    </row>
    <row r="30" spans="1:7" ht="12.75">
      <c r="A30" s="13" t="s">
        <v>65</v>
      </c>
      <c r="D30" s="3"/>
      <c r="E30" s="1">
        <v>2</v>
      </c>
      <c r="F30" s="15">
        <f>F18*0.33</f>
        <v>64.8655527772071</v>
      </c>
      <c r="G30" s="15">
        <f>G18*0.33</f>
        <v>142.7042161098556</v>
      </c>
    </row>
    <row r="31" spans="1:7" ht="12.75">
      <c r="A31" s="1" t="s">
        <v>66</v>
      </c>
      <c r="D31" s="3"/>
      <c r="E31" s="1">
        <v>3</v>
      </c>
      <c r="F31" s="15">
        <f>F18*0.33</f>
        <v>64.8655527772071</v>
      </c>
      <c r="G31" s="15">
        <f>G18*0.33</f>
        <v>142.7042161098556</v>
      </c>
    </row>
    <row r="32" spans="1:7" ht="12.75">
      <c r="A32" s="1" t="s">
        <v>41</v>
      </c>
      <c r="B32" s="2">
        <f>B$12*0.25</f>
        <v>775403.75</v>
      </c>
      <c r="D32" s="3"/>
      <c r="E32" s="1">
        <v>4</v>
      </c>
      <c r="F32" s="15">
        <f>F19*0.33</f>
        <v>129.7311055544142</v>
      </c>
      <c r="G32" s="15">
        <f>G19*0.33</f>
        <v>285.4084322197112</v>
      </c>
    </row>
    <row r="33" spans="1:7" ht="12.75">
      <c r="A33" s="1" t="s">
        <v>42</v>
      </c>
      <c r="B33" s="2">
        <f>B$12*0.25</f>
        <v>775403.75</v>
      </c>
      <c r="D33" s="3"/>
      <c r="E33" s="1" t="s">
        <v>88</v>
      </c>
      <c r="F33" s="15">
        <f>SUM(F29:F32)</f>
        <v>259.4622111088284</v>
      </c>
      <c r="G33" s="15">
        <f>SUM(G29:G32)</f>
        <v>570.8168644394224</v>
      </c>
    </row>
    <row r="34" spans="1:5" ht="25.5">
      <c r="A34" s="1" t="s">
        <v>43</v>
      </c>
      <c r="B34" s="2">
        <f>B$12*0.25</f>
        <v>775403.75</v>
      </c>
      <c r="D34" s="3"/>
      <c r="E34" s="1" t="s">
        <v>89</v>
      </c>
    </row>
    <row r="35" spans="1:7" ht="12.75">
      <c r="A35" s="1" t="s">
        <v>51</v>
      </c>
      <c r="B35" s="2">
        <f>B$12*0.2</f>
        <v>620323</v>
      </c>
      <c r="C35" s="1" t="s">
        <v>68</v>
      </c>
      <c r="D35" s="3"/>
      <c r="E35" s="1">
        <v>1</v>
      </c>
      <c r="F35" s="1">
        <v>0</v>
      </c>
      <c r="G35" s="1">
        <v>0</v>
      </c>
    </row>
    <row r="36" spans="1:7" ht="12.75">
      <c r="A36" s="1" t="s">
        <v>67</v>
      </c>
      <c r="D36" s="3"/>
      <c r="E36" s="1">
        <v>2</v>
      </c>
      <c r="F36" s="15">
        <f>F24*0.33</f>
        <v>148.01693159779296</v>
      </c>
      <c r="G36" s="15">
        <f>G24*0.33</f>
        <v>325.63724951514445</v>
      </c>
    </row>
    <row r="37" spans="1:7" ht="12.75">
      <c r="A37" s="1" t="s">
        <v>46</v>
      </c>
      <c r="B37" s="2">
        <f>B$13*0.25</f>
        <v>223401.57441249996</v>
      </c>
      <c r="D37" s="3"/>
      <c r="E37" s="1">
        <v>3</v>
      </c>
      <c r="F37" s="15">
        <f>F24*0.33</f>
        <v>148.01693159779296</v>
      </c>
      <c r="G37" s="15">
        <f>G24*0.33</f>
        <v>325.63724951514445</v>
      </c>
    </row>
    <row r="38" spans="1:7" ht="12.75">
      <c r="A38" s="1" t="s">
        <v>47</v>
      </c>
      <c r="B38" s="2">
        <f>B$13*0.25</f>
        <v>223401.57441249996</v>
      </c>
      <c r="D38" s="3"/>
      <c r="E38" s="1">
        <v>4</v>
      </c>
      <c r="F38" s="15">
        <f>F25*0.33</f>
        <v>296.0338631955859</v>
      </c>
      <c r="G38" s="15">
        <f>G25*0.33</f>
        <v>651.2744990302889</v>
      </c>
    </row>
    <row r="39" spans="1:7" ht="12.75">
      <c r="A39" s="1" t="s">
        <v>48</v>
      </c>
      <c r="B39" s="2">
        <f>B$13*0.25</f>
        <v>223401.57441249996</v>
      </c>
      <c r="D39" s="3"/>
      <c r="E39" s="1" t="s">
        <v>88</v>
      </c>
      <c r="F39" s="15">
        <f>SUM(F35:F38)</f>
        <v>592.0677263911718</v>
      </c>
      <c r="G39" s="15">
        <f>SUM(G35:G38)</f>
        <v>1302.5489980605778</v>
      </c>
    </row>
    <row r="40" spans="1:7" ht="25.5">
      <c r="A40" s="1" t="s">
        <v>52</v>
      </c>
      <c r="B40" s="2">
        <f>B$13*0.2</f>
        <v>178721.25952999998</v>
      </c>
      <c r="C40" s="1" t="s">
        <v>68</v>
      </c>
      <c r="D40" s="3"/>
      <c r="E40" s="1" t="s">
        <v>91</v>
      </c>
      <c r="F40" s="15"/>
      <c r="G40" s="15"/>
    </row>
    <row r="41" spans="1:7" ht="12.75">
      <c r="A41" s="1" t="s">
        <v>70</v>
      </c>
      <c r="D41" s="3"/>
      <c r="E41" s="1" t="s">
        <v>90</v>
      </c>
      <c r="F41" s="15">
        <f>(F33)*134813/1051165+F39*134813/1051165/0.613</f>
        <v>157.1479109309574</v>
      </c>
      <c r="G41" s="15">
        <f>(G33)*134813/1051165+G39*134813/1051165/0.613</f>
        <v>345.7254040481062</v>
      </c>
    </row>
    <row r="42" spans="1:4" ht="12.75">
      <c r="A42" s="1" t="s">
        <v>41</v>
      </c>
      <c r="B42" s="1">
        <v>0</v>
      </c>
      <c r="C42" s="1" t="s">
        <v>71</v>
      </c>
      <c r="D42" s="3"/>
    </row>
    <row r="43" spans="1:7" ht="12.75">
      <c r="A43" s="1" t="s">
        <v>42</v>
      </c>
      <c r="B43" s="1">
        <v>1</v>
      </c>
      <c r="C43" s="1" t="s">
        <v>76</v>
      </c>
      <c r="D43" s="3"/>
      <c r="E43" s="3"/>
      <c r="F43" s="4"/>
      <c r="G43" s="4"/>
    </row>
    <row r="44" spans="1:7" ht="25.5">
      <c r="A44" s="1" t="s">
        <v>43</v>
      </c>
      <c r="B44" s="1">
        <v>1</v>
      </c>
      <c r="D44" s="3"/>
      <c r="E44" s="1" t="s">
        <v>0</v>
      </c>
      <c r="F44" s="2">
        <v>96000</v>
      </c>
      <c r="G44" s="2">
        <v>96000</v>
      </c>
    </row>
    <row r="45" spans="1:7" ht="12.75">
      <c r="A45" s="1" t="s">
        <v>51</v>
      </c>
      <c r="B45" s="1">
        <v>2</v>
      </c>
      <c r="D45" s="3"/>
      <c r="E45" s="1" t="s">
        <v>1</v>
      </c>
      <c r="F45" s="2">
        <f>F44*0.05</f>
        <v>4800</v>
      </c>
      <c r="G45" s="2">
        <f>G44*0.11</f>
        <v>10560</v>
      </c>
    </row>
    <row r="46" spans="1:7" ht="12.75">
      <c r="A46" s="1" t="s">
        <v>72</v>
      </c>
      <c r="D46" s="3"/>
      <c r="E46" s="1" t="s">
        <v>2</v>
      </c>
      <c r="F46" s="2">
        <f>F45*0.05</f>
        <v>240</v>
      </c>
      <c r="G46" s="2">
        <f>G45*0.05</f>
        <v>528</v>
      </c>
    </row>
    <row r="47" spans="1:7" ht="12.75">
      <c r="A47" s="1" t="s">
        <v>46</v>
      </c>
      <c r="B47" s="1">
        <v>0</v>
      </c>
      <c r="C47" s="1" t="s">
        <v>71</v>
      </c>
      <c r="D47" s="3"/>
      <c r="E47" s="1" t="s">
        <v>4</v>
      </c>
      <c r="F47" s="2">
        <f>F46*192</f>
        <v>46080</v>
      </c>
      <c r="G47" s="2">
        <f>G46*192</f>
        <v>101376</v>
      </c>
    </row>
    <row r="48" spans="1:7" ht="25.5">
      <c r="A48" s="1" t="s">
        <v>47</v>
      </c>
      <c r="B48" s="1">
        <v>1</v>
      </c>
      <c r="C48" s="1" t="s">
        <v>76</v>
      </c>
      <c r="D48" s="3"/>
      <c r="E48" s="1" t="s">
        <v>6</v>
      </c>
      <c r="F48" s="2">
        <f>25000000+31000000</f>
        <v>56000000</v>
      </c>
      <c r="G48" s="2">
        <f>25000000+31000000</f>
        <v>56000000</v>
      </c>
    </row>
    <row r="49" spans="1:7" ht="12.75">
      <c r="A49" s="1" t="s">
        <v>48</v>
      </c>
      <c r="B49" s="1">
        <v>1</v>
      </c>
      <c r="D49" s="3"/>
      <c r="E49" s="3"/>
      <c r="F49" s="4"/>
      <c r="G49" s="4"/>
    </row>
    <row r="50" spans="1:7" ht="12.75">
      <c r="A50" s="1" t="s">
        <v>52</v>
      </c>
      <c r="B50" s="1">
        <v>2</v>
      </c>
      <c r="D50" s="3"/>
      <c r="E50" s="1" t="s">
        <v>3</v>
      </c>
      <c r="F50" s="5">
        <f>F47/F48</f>
        <v>0.0008228571428571429</v>
      </c>
      <c r="G50" s="5">
        <f>G47/G48</f>
        <v>0.0018102857142857144</v>
      </c>
    </row>
    <row r="51" spans="1:7" ht="25.5">
      <c r="A51" s="1" t="s">
        <v>79</v>
      </c>
      <c r="D51" s="3"/>
      <c r="E51" s="1" t="s">
        <v>5</v>
      </c>
      <c r="F51" s="2">
        <f>134813*F50</f>
        <v>110.93184</v>
      </c>
      <c r="G51" s="2">
        <f>134813*G50</f>
        <v>244.050048</v>
      </c>
    </row>
    <row r="52" spans="1:4" ht="12.75">
      <c r="A52" s="1" t="s">
        <v>77</v>
      </c>
      <c r="B52" s="2">
        <f>B$27*B28</f>
        <v>10483.321660962762</v>
      </c>
      <c r="D52" s="3"/>
    </row>
    <row r="53" spans="1:7" ht="12.75">
      <c r="A53" s="1" t="s">
        <v>78</v>
      </c>
      <c r="B53" s="2">
        <f>B$27*B29</f>
        <v>23921.92833903724</v>
      </c>
      <c r="D53" s="3"/>
      <c r="E53" s="1" t="s">
        <v>92</v>
      </c>
      <c r="F53" s="15">
        <f>F41+F51</f>
        <v>268.0797509309574</v>
      </c>
      <c r="G53" s="15">
        <f>G41+G51</f>
        <v>589.7754520481062</v>
      </c>
    </row>
  </sheetData>
  <printOptions gridLines="1" headings="1" horizontalCentered="1" verticalCentered="1"/>
  <pageMargins left="0.25" right="0.25" top="0.5" bottom="0.5" header="0.25" footer="0.25"/>
  <pageSetup fitToHeight="1" fitToWidth="1" horizontalDpi="600" verticalDpi="600" orientation="landscape" scale="67" r:id="rId1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J18" sqref="J18"/>
    </sheetView>
  </sheetViews>
  <sheetFormatPr defaultColWidth="9.140625" defaultRowHeight="12.75"/>
  <cols>
    <col min="1" max="1" width="16.28125" style="1" customWidth="1"/>
    <col min="2" max="2" width="25.7109375" style="1" customWidth="1"/>
    <col min="3" max="7" width="9.140625" style="1" customWidth="1"/>
    <col min="11" max="16384" width="9.140625" style="1" customWidth="1"/>
  </cols>
  <sheetData>
    <row r="1" spans="2:10" ht="38.25">
      <c r="B1" s="1" t="s">
        <v>12</v>
      </c>
      <c r="E1" s="1" t="s">
        <v>8</v>
      </c>
      <c r="H1" s="1" t="s">
        <v>13</v>
      </c>
      <c r="I1" s="1" t="s">
        <v>14</v>
      </c>
      <c r="J1" s="1"/>
    </row>
    <row r="2" spans="1:10" ht="12.75">
      <c r="A2" s="1" t="s">
        <v>7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/>
      <c r="I2" s="1"/>
      <c r="J2" s="1"/>
    </row>
    <row r="3" spans="8:10" ht="12.75">
      <c r="H3" s="1"/>
      <c r="I3" s="1"/>
      <c r="J3" s="1"/>
    </row>
    <row r="4" spans="1:10" ht="12.75">
      <c r="A4" s="1">
        <v>1995</v>
      </c>
      <c r="B4" s="6">
        <v>38195</v>
      </c>
      <c r="C4" s="6">
        <v>38204</v>
      </c>
      <c r="D4" s="6">
        <v>38214</v>
      </c>
      <c r="E4" s="6">
        <v>38139</v>
      </c>
      <c r="F4" s="6">
        <v>38152</v>
      </c>
      <c r="G4" s="6">
        <v>38157</v>
      </c>
      <c r="H4" s="1"/>
      <c r="I4" s="1"/>
      <c r="J4" s="1"/>
    </row>
    <row r="5" spans="1:10" ht="12.75">
      <c r="A5" s="1">
        <f>A4+1</f>
        <v>1996</v>
      </c>
      <c r="B5" s="6">
        <v>38097</v>
      </c>
      <c r="C5" s="6">
        <v>38103</v>
      </c>
      <c r="D5" s="6">
        <v>38196</v>
      </c>
      <c r="E5" s="6">
        <v>38090</v>
      </c>
      <c r="F5" s="6">
        <v>38091</v>
      </c>
      <c r="G5" s="6">
        <v>38144</v>
      </c>
      <c r="H5" s="1"/>
      <c r="I5" s="1"/>
      <c r="J5" s="1"/>
    </row>
    <row r="6" spans="1:10" ht="12.75">
      <c r="A6" s="1">
        <f>A5+1</f>
        <v>1997</v>
      </c>
      <c r="B6" s="6">
        <v>38168</v>
      </c>
      <c r="C6" s="6">
        <v>38182</v>
      </c>
      <c r="D6" s="6">
        <v>38195</v>
      </c>
      <c r="E6" s="6">
        <v>38140</v>
      </c>
      <c r="F6" s="6">
        <v>38149</v>
      </c>
      <c r="G6" s="6">
        <v>38152</v>
      </c>
      <c r="H6" s="1"/>
      <c r="I6" s="1"/>
      <c r="J6" s="1"/>
    </row>
    <row r="7" spans="1:10" ht="12.75">
      <c r="A7" s="1">
        <f>A6+1</f>
        <v>1998</v>
      </c>
      <c r="B7" s="6">
        <v>38130</v>
      </c>
      <c r="C7" s="6">
        <v>38181</v>
      </c>
      <c r="D7" s="6">
        <v>38190</v>
      </c>
      <c r="E7" s="6">
        <v>38093</v>
      </c>
      <c r="F7" s="6">
        <v>38146</v>
      </c>
      <c r="G7" s="6">
        <v>38156</v>
      </c>
      <c r="H7" s="1"/>
      <c r="I7" s="1"/>
      <c r="J7" s="1"/>
    </row>
    <row r="8" spans="1:10" ht="12.75">
      <c r="A8" s="1">
        <f>A7+1</f>
        <v>1999</v>
      </c>
      <c r="B8" s="6">
        <v>38102</v>
      </c>
      <c r="C8" s="6">
        <v>38159</v>
      </c>
      <c r="D8" s="6">
        <v>38196</v>
      </c>
      <c r="E8" s="6">
        <v>38091</v>
      </c>
      <c r="F8" s="6">
        <v>38139</v>
      </c>
      <c r="G8" s="6">
        <v>38147</v>
      </c>
      <c r="H8" s="1"/>
      <c r="I8" s="1"/>
      <c r="J8" s="1"/>
    </row>
    <row r="9" spans="1:10" ht="12.75">
      <c r="A9" s="1">
        <f>A8+1</f>
        <v>2000</v>
      </c>
      <c r="B9" s="6">
        <v>38097</v>
      </c>
      <c r="C9" s="6">
        <v>38105</v>
      </c>
      <c r="D9" s="6">
        <v>38170</v>
      </c>
      <c r="E9" s="6">
        <v>38088</v>
      </c>
      <c r="F9" s="6">
        <v>38090</v>
      </c>
      <c r="G9" s="6">
        <v>38139</v>
      </c>
      <c r="H9" s="1"/>
      <c r="I9" s="1"/>
      <c r="J9" s="1"/>
    </row>
    <row r="10" spans="2:10" ht="12.75">
      <c r="B10" s="6"/>
      <c r="C10" s="6"/>
      <c r="D10" s="6"/>
      <c r="E10" s="6"/>
      <c r="F10" s="6"/>
      <c r="G10" s="6"/>
      <c r="H10" s="1"/>
      <c r="I10" s="1"/>
      <c r="J10" s="1"/>
    </row>
    <row r="11" spans="1:10" ht="12.75">
      <c r="A11" s="1" t="s">
        <v>15</v>
      </c>
      <c r="B11" s="6">
        <f aca="true" t="shared" si="0" ref="B11:G11">AVERAGE(B4:B9)</f>
        <v>38131.5</v>
      </c>
      <c r="C11" s="6">
        <f t="shared" si="0"/>
        <v>38155.666666666664</v>
      </c>
      <c r="D11" s="6">
        <f t="shared" si="0"/>
        <v>38193.5</v>
      </c>
      <c r="E11" s="6">
        <f t="shared" si="0"/>
        <v>38106.833333333336</v>
      </c>
      <c r="F11" s="6">
        <f t="shared" si="0"/>
        <v>38127.833333333336</v>
      </c>
      <c r="G11" s="6">
        <f t="shared" si="0"/>
        <v>38149.166666666664</v>
      </c>
      <c r="H11" s="1"/>
      <c r="I11" s="1"/>
      <c r="J11" s="1"/>
    </row>
    <row r="14" spans="1:10" ht="25.5">
      <c r="A14" s="1" t="s">
        <v>25</v>
      </c>
      <c r="B14" s="1" t="s">
        <v>18</v>
      </c>
      <c r="H14" s="9"/>
      <c r="I14" s="9"/>
      <c r="J14" s="9"/>
    </row>
    <row r="15" spans="1:12" s="8" customFormat="1" ht="12.75">
      <c r="A15" s="10" t="s">
        <v>16</v>
      </c>
      <c r="B15" s="10">
        <v>38171</v>
      </c>
      <c r="C15" s="10">
        <v>38192</v>
      </c>
      <c r="D15" s="10">
        <v>38227</v>
      </c>
      <c r="E15" s="10"/>
      <c r="F15" s="10"/>
      <c r="G15" s="10"/>
      <c r="H15" s="10"/>
      <c r="I15" s="10"/>
      <c r="J15" s="10"/>
      <c r="K15" s="10"/>
      <c r="L15" s="10"/>
    </row>
    <row r="16" spans="1:12" s="7" customFormat="1" ht="12.75">
      <c r="A16" s="11" t="s">
        <v>17</v>
      </c>
      <c r="B16" s="11">
        <v>0.2955871560299664</v>
      </c>
      <c r="C16" s="11">
        <v>0.49185080765290184</v>
      </c>
      <c r="D16" s="11">
        <v>0.7364210403935445</v>
      </c>
      <c r="E16" s="11"/>
      <c r="F16" s="11"/>
      <c r="G16" s="11"/>
      <c r="H16" s="11"/>
      <c r="I16" s="11"/>
      <c r="J16" s="11"/>
      <c r="K16" s="11"/>
      <c r="L16" s="11"/>
    </row>
    <row r="17" spans="1:10" ht="12.75">
      <c r="A17" s="1" t="s">
        <v>19</v>
      </c>
      <c r="B17" s="6">
        <v>38169</v>
      </c>
      <c r="C17" s="6">
        <v>38193</v>
      </c>
      <c r="D17" s="6">
        <v>38228</v>
      </c>
      <c r="H17" s="9"/>
      <c r="I17" s="9"/>
      <c r="J17" s="9"/>
    </row>
    <row r="22" spans="1:4" ht="25.5">
      <c r="A22" s="1" t="s">
        <v>20</v>
      </c>
      <c r="B22" s="1" t="s">
        <v>21</v>
      </c>
      <c r="C22" s="1" t="s">
        <v>22</v>
      </c>
      <c r="D22" s="1" t="s">
        <v>23</v>
      </c>
    </row>
    <row r="23" spans="2:4" ht="12.75">
      <c r="B23" s="6">
        <f>B11</f>
        <v>38131.5</v>
      </c>
      <c r="C23" s="6">
        <f>C11</f>
        <v>38155.666666666664</v>
      </c>
      <c r="D23" s="6">
        <f>D11</f>
        <v>38193.5</v>
      </c>
    </row>
    <row r="24" spans="1:4" ht="25.5">
      <c r="A24" s="1" t="s">
        <v>26</v>
      </c>
      <c r="B24" s="2">
        <f>3101065*0.25</f>
        <v>775266.25</v>
      </c>
      <c r="C24" s="2">
        <f>3101065*0.25</f>
        <v>775266.25</v>
      </c>
      <c r="D24" s="2">
        <f>3101065*0.25</f>
        <v>775266.25</v>
      </c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1:4" ht="25.5">
      <c r="A28" s="1" t="s">
        <v>24</v>
      </c>
      <c r="B28" s="6">
        <f>B17</f>
        <v>38169</v>
      </c>
      <c r="C28" s="6">
        <f>C17</f>
        <v>38193</v>
      </c>
      <c r="D28" s="6">
        <f>D17</f>
        <v>38228</v>
      </c>
    </row>
    <row r="29" spans="2:4" ht="12.75">
      <c r="B29" s="1">
        <v>7500</v>
      </c>
      <c r="C29" s="1">
        <v>7500</v>
      </c>
      <c r="D29" s="1">
        <v>7500</v>
      </c>
    </row>
    <row r="30" spans="1:4" ht="25.5">
      <c r="A30" s="1" t="s">
        <v>27</v>
      </c>
      <c r="B30" s="1">
        <f>B29*0.05</f>
        <v>375</v>
      </c>
      <c r="C30" s="1">
        <f>C29*0.05</f>
        <v>375</v>
      </c>
      <c r="D30" s="1">
        <f>D29*0.05</f>
        <v>375</v>
      </c>
    </row>
    <row r="31" spans="1:4" ht="25.5">
      <c r="A31" s="1" t="s">
        <v>28</v>
      </c>
      <c r="B31" s="1">
        <f>B29*0.11</f>
        <v>825</v>
      </c>
      <c r="C31" s="1">
        <f>C29*0.11</f>
        <v>825</v>
      </c>
      <c r="D31" s="1">
        <f>D29*0.11</f>
        <v>825</v>
      </c>
    </row>
    <row r="32" spans="1:4" ht="38.25">
      <c r="A32" s="1" t="s">
        <v>29</v>
      </c>
      <c r="B32" s="1">
        <f>90*0.05*B30</f>
        <v>1687.5</v>
      </c>
      <c r="C32" s="1">
        <f>24*0.05*C30</f>
        <v>450.00000000000006</v>
      </c>
      <c r="D32" s="1">
        <f>25*0.05*D30</f>
        <v>468.75</v>
      </c>
    </row>
    <row r="33" spans="1:4" ht="38.25">
      <c r="A33" s="1" t="s">
        <v>30</v>
      </c>
      <c r="B33" s="1">
        <f>90*0.05*B31</f>
        <v>3712.5</v>
      </c>
      <c r="C33" s="1">
        <f>24*0.05*C31</f>
        <v>990.0000000000001</v>
      </c>
      <c r="D33" s="1">
        <f>25*0.05*D31</f>
        <v>1031.25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Skidmore, John</cp:lastModifiedBy>
  <cp:lastPrinted>2004-03-17T19:21:21Z</cp:lastPrinted>
  <dcterms:created xsi:type="dcterms:W3CDTF">1996-10-14T23:33:28Z</dcterms:created>
  <dcterms:modified xsi:type="dcterms:W3CDTF">2004-04-02T18:29:30Z</dcterms:modified>
  <cp:category/>
  <cp:version/>
  <cp:contentType/>
  <cp:contentStatus/>
</cp:coreProperties>
</file>