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1445" windowHeight="5670" tabRatio="622" activeTab="0"/>
  </bookViews>
  <sheets>
    <sheet name="2004 Assessment Computation" sheetId="1" r:id="rId1"/>
  </sheets>
  <definedNames>
    <definedName name="Summary">'2004 Assessment Computation'!$B$2:$I$23</definedName>
  </definedNames>
  <calcPr fullCalcOnLoad="1"/>
</workbook>
</file>

<file path=xl/sharedStrings.xml><?xml version="1.0" encoding="utf-8"?>
<sst xmlns="http://schemas.openxmlformats.org/spreadsheetml/2006/main" count="44" uniqueCount="28">
  <si>
    <t>Over</t>
  </si>
  <si>
    <t>But Not Over</t>
  </si>
  <si>
    <t>This Amount</t>
  </si>
  <si>
    <t>Plus</t>
  </si>
  <si>
    <t>Of Excess Over</t>
  </si>
  <si>
    <t xml:space="preserve">     TOTAL ASSETS (000's):</t>
  </si>
  <si>
    <t xml:space="preserve">     percentage increase</t>
  </si>
  <si>
    <t xml:space="preserve">     ASSESSMENT:</t>
  </si>
  <si>
    <t>If your bank is part of a multi bank holding company and is entitled to a non-lead bank discount enter "Yes".  If not or you are unsure, leave blank:</t>
  </si>
  <si>
    <t>Enter your bank's CAMELS rating, if known, if not, leave blank:</t>
  </si>
  <si>
    <t>Non-lead Discount</t>
  </si>
  <si>
    <r>
      <t>Enter your bank's total balance sheet assets here (</t>
    </r>
    <r>
      <rPr>
        <b/>
        <sz val="11"/>
        <color indexed="10"/>
        <rFont val="Times New Roman"/>
        <family val="1"/>
      </rPr>
      <t>in thousands</t>
    </r>
    <r>
      <rPr>
        <b/>
        <sz val="11"/>
        <color indexed="12"/>
        <rFont val="Times New Roman"/>
        <family val="1"/>
      </rPr>
      <t>):</t>
    </r>
  </si>
  <si>
    <t>Base Assessment</t>
  </si>
  <si>
    <t>CAMELS=3</t>
  </si>
  <si>
    <t>CAMELS=4 or 5</t>
  </si>
  <si>
    <r>
      <t>If you are an independent trust bank, enter your total Fiduciary and Related assets (</t>
    </r>
    <r>
      <rPr>
        <b/>
        <sz val="11"/>
        <color indexed="10"/>
        <rFont val="Times New Roman"/>
        <family val="1"/>
      </rPr>
      <t>in thousands</t>
    </r>
    <r>
      <rPr>
        <b/>
        <sz val="11"/>
        <color indexed="12"/>
        <rFont val="Times New Roman"/>
        <family val="1"/>
      </rPr>
      <t>).  If not, leave blank:</t>
    </r>
  </si>
  <si>
    <r>
      <t>If you are an independent credit card bank, enter the value of Receivables Attributable to credit card accounts that your institution owns (</t>
    </r>
    <r>
      <rPr>
        <b/>
        <sz val="11"/>
        <color indexed="10"/>
        <rFont val="Times New Roman"/>
        <family val="1"/>
      </rPr>
      <t>in thousands</t>
    </r>
    <r>
      <rPr>
        <b/>
        <sz val="11"/>
        <color indexed="12"/>
        <rFont val="Times New Roman"/>
        <family val="1"/>
      </rPr>
      <t>).  If not or none, leave blank:</t>
    </r>
  </si>
  <si>
    <r>
      <t xml:space="preserve">If you are part of a multi-bank holding company, you must calculate the assessment for each bank individually and sum the results.  The results below are only estimates of your </t>
    </r>
    <r>
      <rPr>
        <b/>
        <i/>
        <sz val="11"/>
        <color indexed="8"/>
        <rFont val="Times New Roman"/>
        <family val="1"/>
      </rPr>
      <t>semi-annual</t>
    </r>
    <r>
      <rPr>
        <b/>
        <i/>
        <sz val="12"/>
        <color indexed="8"/>
        <rFont val="Times New Roman"/>
        <family val="1"/>
      </rPr>
      <t xml:space="preserve"> assessment.</t>
    </r>
  </si>
  <si>
    <t>Semi-annual General Assessment</t>
  </si>
  <si>
    <t>Semi-annual Independent Trust Bank Fee</t>
  </si>
  <si>
    <t>Semi-annual Independent Credit Card Bank Fee</t>
  </si>
  <si>
    <t>Semi-annual Problem Bank Surcharge</t>
  </si>
  <si>
    <t>Total Semi-annual Assessment and Fees Paid</t>
  </si>
  <si>
    <t>Original 2003 Numbers</t>
  </si>
  <si>
    <t>*</t>
  </si>
  <si>
    <t>2004 Assessment Schedule</t>
  </si>
  <si>
    <t>2004 Independent Trust Bank Fee</t>
  </si>
  <si>
    <t>2004 Independent Credit Card Bank Fee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</si>
</sst>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000000_);_(* \(#,##0.0000000000\);_(* &quot;-&quot;??_);_(@_)"/>
    <numFmt numFmtId="168" formatCode="_(&quot;$&quot;* #,##0.0000_);_(&quot;$&quot;* \(#,##0.0000\);_(&quot;$&quot;* &quot;-&quot;??_);_(@_)"/>
    <numFmt numFmtId="169" formatCode="0.0000000000"/>
    <numFmt numFmtId="170" formatCode="_(&quot;$&quot;* #,##0.0_);_(&quot;$&quot;* \(#,##0.0\);_(&quot;$&quot;* &quot;-&quot;??_);_(@_)"/>
    <numFmt numFmtId="171" formatCode="0.000000000"/>
    <numFmt numFmtId="172" formatCode="_(* #,##0.0_);_(* \(#,##0.0\);_(* &quot;-&quot;??_);_(@_)"/>
    <numFmt numFmtId="173" formatCode="_(&quot;$&quot;* #,##0.000_);_(&quot;$&quot;* \(#,##0.000\);_(&quot;$&quot;* &quot;-&quot;??_);_(@_)"/>
    <numFmt numFmtId="174" formatCode="_(* #,##0.0000000_);_(* \(#,##0.0000000\);_(* &quot;-&quot;???????_);_(@_)"/>
    <numFmt numFmtId="175" formatCode="0.00000000000"/>
    <numFmt numFmtId="176" formatCode="0.000000000000"/>
    <numFmt numFmtId="177" formatCode="0.0000000000000"/>
    <numFmt numFmtId="178" formatCode="0.00000000000000"/>
    <numFmt numFmtId="179" formatCode="0.000000000000000"/>
    <numFmt numFmtId="180" formatCode="0.0000000000000000"/>
    <numFmt numFmtId="181" formatCode="0.00000000000000000"/>
    <numFmt numFmtId="182" formatCode="0.000000000000000000"/>
    <numFmt numFmtId="183" formatCode="0.0000000000000000000"/>
    <numFmt numFmtId="184" formatCode="_(&quot;$&quot;* #,##0.000000000_);_(&quot;$&quot;* \(#,##0.000000000\);_(&quot;$&quot;* &quot;-&quot;?????????_);_(@_)"/>
    <numFmt numFmtId="185" formatCode="_(* #,##0.000000000_);_(* \(#,##0.000000000\);_(* &quot;-&quot;?????????_);_(@_)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</numFmts>
  <fonts count="13">
    <font>
      <sz val="10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0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64" fontId="6" fillId="2" borderId="1" xfId="17" applyNumberFormat="1" applyFont="1" applyFill="1" applyBorder="1" applyAlignment="1" applyProtection="1">
      <alignment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0" fontId="0" fillId="3" borderId="9" xfId="0" applyFill="1" applyBorder="1" applyAlignment="1" applyProtection="1">
      <alignment/>
      <protection/>
    </xf>
    <xf numFmtId="0" fontId="0" fillId="3" borderId="0" xfId="0" applyFill="1" applyAlignment="1" applyProtection="1">
      <alignment vertical="center"/>
      <protection/>
    </xf>
    <xf numFmtId="0" fontId="2" fillId="3" borderId="0" xfId="0" applyFont="1" applyFill="1" applyBorder="1" applyAlignment="1" applyProtection="1">
      <alignment/>
      <protection/>
    </xf>
    <xf numFmtId="165" fontId="2" fillId="3" borderId="0" xfId="15" applyNumberFormat="1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 quotePrefix="1">
      <alignment horizontal="fill"/>
      <protection/>
    </xf>
    <xf numFmtId="169" fontId="2" fillId="3" borderId="0" xfId="0" applyNumberFormat="1" applyFont="1" applyFill="1" applyBorder="1" applyAlignment="1" applyProtection="1" quotePrefix="1">
      <alignment horizontal="fill"/>
      <protection/>
    </xf>
    <xf numFmtId="42" fontId="6" fillId="2" borderId="1" xfId="0" applyNumberFormat="1" applyFont="1" applyFill="1" applyBorder="1" applyAlignment="1" applyProtection="1">
      <alignment/>
      <protection hidden="1"/>
    </xf>
    <xf numFmtId="42" fontId="6" fillId="2" borderId="10" xfId="0" applyNumberFormat="1" applyFont="1" applyFill="1" applyBorder="1" applyAlignment="1" applyProtection="1">
      <alignment/>
      <protection hidden="1"/>
    </xf>
    <xf numFmtId="42" fontId="6" fillId="2" borderId="11" xfId="0" applyNumberFormat="1" applyFont="1" applyFill="1" applyBorder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2" fillId="3" borderId="0" xfId="0" applyFont="1" applyFill="1" applyBorder="1" applyAlignment="1" applyProtection="1">
      <alignment/>
      <protection hidden="1"/>
    </xf>
    <xf numFmtId="165" fontId="2" fillId="3" borderId="0" xfId="15" applyNumberFormat="1" applyFont="1" applyFill="1" applyAlignment="1" applyProtection="1">
      <alignment/>
      <protection hidden="1"/>
    </xf>
    <xf numFmtId="0" fontId="2" fillId="3" borderId="0" xfId="0" applyFont="1" applyFill="1" applyAlignment="1" applyProtection="1">
      <alignment/>
      <protection hidden="1"/>
    </xf>
    <xf numFmtId="164" fontId="2" fillId="3" borderId="0" xfId="17" applyNumberFormat="1" applyFont="1" applyFill="1" applyBorder="1" applyAlignment="1" applyProtection="1">
      <alignment/>
      <protection hidden="1"/>
    </xf>
    <xf numFmtId="165" fontId="2" fillId="3" borderId="0" xfId="15" applyNumberFormat="1" applyFont="1" applyFill="1" applyBorder="1" applyAlignment="1" applyProtection="1">
      <alignment/>
      <protection hidden="1"/>
    </xf>
    <xf numFmtId="165" fontId="2" fillId="3" borderId="0" xfId="0" applyNumberFormat="1" applyFont="1" applyFill="1" applyBorder="1" applyAlignment="1" applyProtection="1">
      <alignment/>
      <protection hidden="1"/>
    </xf>
    <xf numFmtId="0" fontId="2" fillId="3" borderId="0" xfId="0" applyFont="1" applyFill="1" applyBorder="1" applyAlignment="1" applyProtection="1" quotePrefix="1">
      <alignment horizontal="left"/>
      <protection hidden="1"/>
    </xf>
    <xf numFmtId="41" fontId="2" fillId="3" borderId="0" xfId="0" applyNumberFormat="1" applyFont="1" applyFill="1" applyBorder="1" applyAlignment="1" applyProtection="1">
      <alignment/>
      <protection hidden="1"/>
    </xf>
    <xf numFmtId="164" fontId="2" fillId="3" borderId="0" xfId="0" applyNumberFormat="1" applyFont="1" applyFill="1" applyAlignment="1" applyProtection="1">
      <alignment/>
      <protection hidden="1"/>
    </xf>
    <xf numFmtId="168" fontId="2" fillId="3" borderId="0" xfId="0" applyNumberFormat="1" applyFont="1" applyFill="1" applyBorder="1" applyAlignment="1" applyProtection="1">
      <alignment/>
      <protection hidden="1"/>
    </xf>
    <xf numFmtId="42" fontId="2" fillId="3" borderId="0" xfId="0" applyNumberFormat="1" applyFont="1" applyFill="1" applyBorder="1" applyAlignment="1" applyProtection="1">
      <alignment/>
      <protection hidden="1"/>
    </xf>
    <xf numFmtId="164" fontId="2" fillId="3" borderId="0" xfId="0" applyNumberFormat="1" applyFont="1" applyFill="1" applyBorder="1" applyAlignment="1" applyProtection="1">
      <alignment/>
      <protection hidden="1"/>
    </xf>
    <xf numFmtId="44" fontId="2" fillId="3" borderId="0" xfId="0" applyNumberFormat="1" applyFont="1" applyFill="1" applyBorder="1" applyAlignment="1" applyProtection="1">
      <alignment/>
      <protection hidden="1"/>
    </xf>
    <xf numFmtId="0" fontId="2" fillId="3" borderId="0" xfId="0" applyFont="1" applyFill="1" applyBorder="1" applyAlignment="1" applyProtection="1" quotePrefix="1">
      <alignment horizontal="fill"/>
      <protection hidden="1"/>
    </xf>
    <xf numFmtId="0" fontId="2" fillId="3" borderId="1" xfId="0" applyFont="1" applyFill="1" applyBorder="1" applyAlignment="1" applyProtection="1" quotePrefix="1">
      <alignment horizontal="fill"/>
      <protection hidden="1"/>
    </xf>
    <xf numFmtId="165" fontId="2" fillId="3" borderId="1" xfId="15" applyNumberFormat="1" applyFont="1" applyFill="1" applyBorder="1" applyAlignment="1" applyProtection="1">
      <alignment/>
      <protection hidden="1"/>
    </xf>
    <xf numFmtId="44" fontId="2" fillId="3" borderId="1" xfId="17" applyNumberFormat="1" applyFont="1" applyFill="1" applyBorder="1" applyAlignment="1" applyProtection="1">
      <alignment/>
      <protection hidden="1"/>
    </xf>
    <xf numFmtId="171" fontId="2" fillId="3" borderId="1" xfId="0" applyNumberFormat="1" applyFont="1" applyFill="1" applyBorder="1" applyAlignment="1" applyProtection="1">
      <alignment/>
      <protection hidden="1"/>
    </xf>
    <xf numFmtId="44" fontId="2" fillId="3" borderId="1" xfId="0" applyNumberFormat="1" applyFont="1" applyFill="1" applyBorder="1" applyAlignment="1" applyProtection="1">
      <alignment/>
      <protection hidden="1"/>
    </xf>
    <xf numFmtId="169" fontId="2" fillId="3" borderId="1" xfId="0" applyNumberFormat="1" applyFont="1" applyFill="1" applyBorder="1" applyAlignment="1" applyProtection="1" quotePrefix="1">
      <alignment horizontal="fill"/>
      <protection hidden="1"/>
    </xf>
    <xf numFmtId="167" fontId="4" fillId="3" borderId="0" xfId="0" applyNumberFormat="1" applyFont="1" applyFill="1" applyBorder="1" applyAlignment="1" applyProtection="1" quotePrefix="1">
      <alignment horizontal="center"/>
      <protection hidden="1"/>
    </xf>
    <xf numFmtId="165" fontId="0" fillId="3" borderId="0" xfId="15" applyNumberFormat="1" applyFill="1" applyAlignment="1" applyProtection="1">
      <alignment/>
      <protection hidden="1"/>
    </xf>
    <xf numFmtId="0" fontId="7" fillId="3" borderId="0" xfId="0" applyFont="1" applyFill="1" applyBorder="1" applyAlignment="1" applyProtection="1" quotePrefix="1">
      <alignment horizontal="left"/>
      <protection hidden="1"/>
    </xf>
    <xf numFmtId="0" fontId="9" fillId="3" borderId="0" xfId="0" applyFont="1" applyFill="1" applyBorder="1" applyAlignment="1" applyProtection="1">
      <alignment/>
      <protection/>
    </xf>
    <xf numFmtId="0" fontId="0" fillId="3" borderId="0" xfId="0" applyFill="1" applyAlignment="1">
      <alignment/>
    </xf>
    <xf numFmtId="164" fontId="0" fillId="3" borderId="0" xfId="17" applyNumberFormat="1" applyFill="1" applyAlignment="1" applyProtection="1">
      <alignment/>
      <protection hidden="1"/>
    </xf>
    <xf numFmtId="164" fontId="4" fillId="3" borderId="0" xfId="17" applyNumberFormat="1" applyFont="1" applyFill="1" applyBorder="1" applyAlignment="1" applyProtection="1" quotePrefix="1">
      <alignment horizontal="center"/>
      <protection hidden="1"/>
    </xf>
    <xf numFmtId="164" fontId="2" fillId="3" borderId="0" xfId="17" applyNumberFormat="1" applyFont="1" applyFill="1" applyBorder="1" applyAlignment="1" applyProtection="1" quotePrefix="1">
      <alignment horizontal="fill"/>
      <protection hidden="1"/>
    </xf>
    <xf numFmtId="164" fontId="2" fillId="3" borderId="1" xfId="17" applyNumberFormat="1" applyFont="1" applyFill="1" applyBorder="1" applyAlignment="1" applyProtection="1" quotePrefix="1">
      <alignment horizontal="fill"/>
      <protection hidden="1"/>
    </xf>
    <xf numFmtId="164" fontId="2" fillId="3" borderId="1" xfId="17" applyNumberFormat="1" applyFont="1" applyFill="1" applyBorder="1" applyAlignment="1" applyProtection="1">
      <alignment/>
      <protection hidden="1"/>
    </xf>
    <xf numFmtId="0" fontId="1" fillId="3" borderId="12" xfId="0" applyFont="1" applyFill="1" applyBorder="1" applyAlignment="1" applyProtection="1">
      <alignment horizontal="center" vertical="center" wrapText="1"/>
      <protection hidden="1"/>
    </xf>
    <xf numFmtId="0" fontId="3" fillId="3" borderId="12" xfId="0" applyFont="1" applyFill="1" applyBorder="1" applyAlignment="1" applyProtection="1">
      <alignment horizontal="center" vertical="center" wrapText="1"/>
      <protection hidden="1"/>
    </xf>
    <xf numFmtId="0" fontId="2" fillId="3" borderId="12" xfId="0" applyFont="1" applyFill="1" applyBorder="1" applyAlignment="1" applyProtection="1" quotePrefix="1">
      <alignment horizontal="fill"/>
      <protection hidden="1"/>
    </xf>
    <xf numFmtId="171" fontId="2" fillId="3" borderId="12" xfId="0" applyNumberFormat="1" applyFont="1" applyFill="1" applyBorder="1" applyAlignment="1" applyProtection="1">
      <alignment/>
      <protection hidden="1"/>
    </xf>
    <xf numFmtId="42" fontId="0" fillId="3" borderId="0" xfId="0" applyNumberFormat="1" applyFill="1" applyAlignment="1" applyProtection="1">
      <alignment/>
      <protection hidden="1"/>
    </xf>
    <xf numFmtId="42" fontId="0" fillId="3" borderId="0" xfId="0" applyNumberFormat="1" applyFill="1" applyAlignment="1" applyProtection="1">
      <alignment/>
      <protection/>
    </xf>
    <xf numFmtId="0" fontId="0" fillId="3" borderId="0" xfId="0" applyFill="1" applyBorder="1" applyAlignment="1" applyProtection="1">
      <alignment/>
      <protection hidden="1"/>
    </xf>
    <xf numFmtId="37" fontId="2" fillId="3" borderId="0" xfId="0" applyNumberFormat="1" applyFont="1" applyFill="1" applyBorder="1" applyAlignment="1" applyProtection="1">
      <alignment/>
      <protection hidden="1"/>
    </xf>
    <xf numFmtId="44" fontId="2" fillId="3" borderId="0" xfId="17" applyNumberFormat="1" applyFont="1" applyFill="1" applyBorder="1" applyAlignment="1" applyProtection="1">
      <alignment/>
      <protection hidden="1"/>
    </xf>
    <xf numFmtId="171" fontId="2" fillId="3" borderId="0" xfId="0" applyNumberFormat="1" applyFont="1" applyFill="1" applyBorder="1" applyAlignment="1" applyProtection="1">
      <alignment/>
      <protection hidden="1"/>
    </xf>
    <xf numFmtId="169" fontId="2" fillId="3" borderId="0" xfId="0" applyNumberFormat="1" applyFont="1" applyFill="1" applyBorder="1" applyAlignment="1" applyProtection="1" quotePrefix="1">
      <alignment horizontal="fill"/>
      <protection hidden="1"/>
    </xf>
    <xf numFmtId="43" fontId="2" fillId="3" borderId="0" xfId="0" applyNumberFormat="1" applyFont="1" applyFill="1" applyBorder="1" applyAlignment="1" applyProtection="1">
      <alignment/>
      <protection hidden="1"/>
    </xf>
    <xf numFmtId="171" fontId="2" fillId="3" borderId="0" xfId="0" applyNumberFormat="1" applyFont="1" applyFill="1" applyAlignment="1" applyProtection="1">
      <alignment/>
      <protection hidden="1"/>
    </xf>
    <xf numFmtId="171" fontId="0" fillId="3" borderId="0" xfId="0" applyNumberFormat="1" applyFill="1" applyAlignment="1" applyProtection="1">
      <alignment/>
      <protection hidden="1"/>
    </xf>
    <xf numFmtId="165" fontId="0" fillId="3" borderId="0" xfId="0" applyNumberFormat="1" applyFill="1" applyAlignment="1" applyProtection="1">
      <alignment/>
      <protection hidden="1"/>
    </xf>
    <xf numFmtId="0" fontId="0" fillId="3" borderId="10" xfId="0" applyFill="1" applyBorder="1" applyAlignment="1" applyProtection="1">
      <alignment horizontal="center" wrapText="1"/>
      <protection hidden="1"/>
    </xf>
    <xf numFmtId="0" fontId="0" fillId="3" borderId="13" xfId="0" applyFill="1" applyBorder="1" applyAlignment="1" applyProtection="1">
      <alignment horizontal="center" wrapText="1"/>
      <protection hidden="1"/>
    </xf>
    <xf numFmtId="164" fontId="1" fillId="3" borderId="14" xfId="17" applyNumberFormat="1" applyFont="1" applyFill="1" applyBorder="1" applyAlignment="1" applyProtection="1">
      <alignment horizontal="center" vertical="center" wrapText="1"/>
      <protection hidden="1"/>
    </xf>
    <xf numFmtId="164" fontId="3" fillId="3" borderId="15" xfId="17" applyNumberFormat="1" applyFont="1" applyFill="1" applyBorder="1" applyAlignment="1" applyProtection="1">
      <alignment horizontal="center" vertical="center" wrapText="1"/>
      <protection hidden="1"/>
    </xf>
    <xf numFmtId="0" fontId="7" fillId="3" borderId="0" xfId="0" applyFont="1" applyFill="1" applyBorder="1" applyAlignment="1" applyProtection="1" quotePrefix="1">
      <alignment horizontal="left" vertical="center" wrapText="1"/>
      <protection hidden="1"/>
    </xf>
    <xf numFmtId="0" fontId="10" fillId="3" borderId="0" xfId="0" applyFont="1" applyFill="1" applyBorder="1" applyAlignment="1" applyProtection="1">
      <alignment vertical="center" wrapText="1"/>
      <protection hidden="1"/>
    </xf>
    <xf numFmtId="0" fontId="0" fillId="0" borderId="0" xfId="0" applyAlignment="1">
      <alignment/>
    </xf>
    <xf numFmtId="0" fontId="1" fillId="3" borderId="14" xfId="0" applyFont="1" applyFill="1" applyBorder="1" applyAlignment="1" applyProtection="1">
      <alignment horizontal="center" vertical="center" wrapText="1"/>
      <protection hidden="1"/>
    </xf>
    <xf numFmtId="0" fontId="3" fillId="3" borderId="15" xfId="0" applyFont="1" applyFill="1" applyBorder="1" applyAlignment="1" applyProtection="1">
      <alignment horizontal="center" vertical="center" wrapText="1"/>
      <protection hidden="1"/>
    </xf>
    <xf numFmtId="0" fontId="7" fillId="3" borderId="14" xfId="0" applyFont="1" applyFill="1" applyBorder="1" applyAlignment="1" applyProtection="1" quotePrefix="1">
      <alignment horizontal="center" vertical="center" wrapText="1"/>
      <protection hidden="1"/>
    </xf>
    <xf numFmtId="0" fontId="7" fillId="3" borderId="16" xfId="0" applyFont="1" applyFill="1" applyBorder="1" applyAlignment="1" applyProtection="1">
      <alignment horizontal="center" vertical="center" wrapText="1"/>
      <protection hidden="1"/>
    </xf>
    <xf numFmtId="0" fontId="7" fillId="3" borderId="15" xfId="0" applyFont="1" applyFill="1" applyBorder="1" applyAlignment="1" applyProtection="1">
      <alignment horizontal="center" vertical="center" wrapText="1"/>
      <protection hidden="1"/>
    </xf>
    <xf numFmtId="0" fontId="1" fillId="3" borderId="0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 applyProtection="1">
      <alignment horizontal="center" vertical="center" wrapText="1"/>
      <protection hidden="1"/>
    </xf>
    <xf numFmtId="0" fontId="9" fillId="3" borderId="16" xfId="0" applyFont="1" applyFill="1" applyBorder="1" applyAlignment="1" applyProtection="1">
      <alignment horizontal="center" vertical="center" wrapText="1"/>
      <protection hidden="1"/>
    </xf>
    <xf numFmtId="0" fontId="9" fillId="3" borderId="15" xfId="0" applyFont="1" applyFill="1" applyBorder="1" applyAlignment="1" applyProtection="1">
      <alignment horizontal="center" vertical="center" wrapText="1"/>
      <protection hidden="1"/>
    </xf>
    <xf numFmtId="0" fontId="8" fillId="2" borderId="2" xfId="0" applyFont="1" applyFill="1" applyBorder="1" applyAlignment="1" applyProtection="1" quotePrefix="1">
      <alignment horizontal="center" vertical="center" wrapText="1"/>
      <protection hidden="1"/>
    </xf>
    <xf numFmtId="0" fontId="9" fillId="2" borderId="3" xfId="0" applyFont="1" applyFill="1" applyBorder="1" applyAlignment="1" applyProtection="1">
      <alignment/>
      <protection hidden="1"/>
    </xf>
    <xf numFmtId="0" fontId="9" fillId="2" borderId="4" xfId="0" applyFont="1" applyFill="1" applyBorder="1" applyAlignment="1" applyProtection="1">
      <alignment/>
      <protection hidden="1"/>
    </xf>
    <xf numFmtId="0" fontId="9" fillId="2" borderId="5" xfId="0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/>
      <protection hidden="1"/>
    </xf>
    <xf numFmtId="0" fontId="9" fillId="2" borderId="6" xfId="0" applyFont="1" applyFill="1" applyBorder="1" applyAlignment="1" applyProtection="1">
      <alignment/>
      <protection hidden="1"/>
    </xf>
    <xf numFmtId="0" fontId="9" fillId="2" borderId="7" xfId="0" applyFont="1" applyFill="1" applyBorder="1" applyAlignment="1" applyProtection="1">
      <alignment/>
      <protection hidden="1"/>
    </xf>
    <xf numFmtId="0" fontId="9" fillId="2" borderId="8" xfId="0" applyFont="1" applyFill="1" applyBorder="1" applyAlignment="1" applyProtection="1">
      <alignment/>
      <protection hidden="1"/>
    </xf>
    <xf numFmtId="0" fontId="9" fillId="2" borderId="9" xfId="0" applyFont="1" applyFill="1" applyBorder="1" applyAlignment="1" applyProtection="1">
      <alignment/>
      <protection hidden="1"/>
    </xf>
    <xf numFmtId="0" fontId="9" fillId="0" borderId="0" xfId="0" applyFont="1" applyAlignment="1">
      <alignment vertical="center" wrapText="1"/>
    </xf>
    <xf numFmtId="0" fontId="7" fillId="3" borderId="10" xfId="0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X129"/>
  <sheetViews>
    <sheetView tabSelected="1" workbookViewId="0" topLeftCell="A1">
      <selection activeCell="H6" sqref="H6"/>
    </sheetView>
  </sheetViews>
  <sheetFormatPr defaultColWidth="9.33203125" defaultRowHeight="12.75"/>
  <cols>
    <col min="1" max="1" width="3.66015625" style="4" customWidth="1"/>
    <col min="2" max="2" width="3.16015625" style="4" customWidth="1"/>
    <col min="3" max="3" width="18" style="4" customWidth="1"/>
    <col min="4" max="4" width="19" style="4" customWidth="1"/>
    <col min="5" max="5" width="19.66015625" style="4" customWidth="1"/>
    <col min="6" max="6" width="16.66015625" style="4" customWidth="1"/>
    <col min="7" max="7" width="17" style="4" customWidth="1"/>
    <col min="8" max="8" width="19.5" style="4" customWidth="1"/>
    <col min="9" max="9" width="2.83203125" style="4" customWidth="1"/>
    <col min="10" max="10" width="15.16015625" style="23" hidden="1" customWidth="1"/>
    <col min="11" max="12" width="9.33203125" style="23" hidden="1" customWidth="1"/>
    <col min="13" max="13" width="14.5" style="23" hidden="1" customWidth="1"/>
    <col min="14" max="14" width="13.83203125" style="23" hidden="1" customWidth="1"/>
    <col min="15" max="15" width="18.66015625" style="23" hidden="1" customWidth="1"/>
    <col min="16" max="16" width="16.33203125" style="23" hidden="1" customWidth="1"/>
    <col min="17" max="17" width="14.5" style="23" hidden="1" customWidth="1"/>
    <col min="18" max="18" width="15.16015625" style="23" hidden="1" customWidth="1"/>
    <col min="19" max="19" width="14.33203125" style="23" hidden="1" customWidth="1"/>
    <col min="20" max="20" width="9.33203125" style="23" hidden="1" customWidth="1"/>
    <col min="21" max="21" width="15.16015625" style="23" hidden="1" customWidth="1"/>
    <col min="22" max="22" width="13.5" style="23" hidden="1" customWidth="1"/>
    <col min="23" max="23" width="16.83203125" style="23" hidden="1" customWidth="1"/>
    <col min="24" max="24" width="15.5" style="23" hidden="1" customWidth="1"/>
    <col min="25" max="25" width="17" style="23" hidden="1" customWidth="1"/>
    <col min="26" max="26" width="18.5" style="23" hidden="1" customWidth="1"/>
    <col min="27" max="27" width="15" style="23" hidden="1" customWidth="1"/>
    <col min="28" max="29" width="9.33203125" style="23" hidden="1" customWidth="1"/>
    <col min="30" max="31" width="16.66015625" style="23" hidden="1" customWidth="1"/>
    <col min="32" max="32" width="23" style="23" hidden="1" customWidth="1"/>
    <col min="33" max="33" width="16.5" style="23" hidden="1" customWidth="1"/>
    <col min="34" max="34" width="14.66015625" style="23" hidden="1" customWidth="1"/>
    <col min="35" max="35" width="15.16015625" style="23" hidden="1" customWidth="1"/>
    <col min="36" max="36" width="15" style="23" hidden="1" customWidth="1"/>
    <col min="37" max="37" width="11.83203125" style="23" hidden="1" customWidth="1"/>
    <col min="38" max="39" width="9.33203125" style="23" hidden="1" customWidth="1"/>
    <col min="40" max="40" width="15.5" style="23" hidden="1" customWidth="1"/>
    <col min="41" max="41" width="16.33203125" style="23" hidden="1" customWidth="1"/>
    <col min="42" max="42" width="15.16015625" style="49" hidden="1" customWidth="1"/>
    <col min="43" max="43" width="19.16015625" style="23" hidden="1" customWidth="1"/>
    <col min="44" max="44" width="11.66015625" style="23" hidden="1" customWidth="1"/>
    <col min="45" max="45" width="11.33203125" style="23" hidden="1" customWidth="1"/>
    <col min="46" max="46" width="9.33203125" style="23" hidden="1" customWidth="1"/>
    <col min="47" max="48" width="13.33203125" style="23" hidden="1" customWidth="1"/>
    <col min="49" max="49" width="13.16015625" style="23" hidden="1" customWidth="1"/>
    <col min="50" max="50" width="11.83203125" style="23" hidden="1" customWidth="1"/>
    <col min="51" max="62" width="9.33203125" style="23" hidden="1" customWidth="1"/>
    <col min="63" max="64" width="0" style="23" hidden="1" customWidth="1"/>
    <col min="65" max="16384" width="9.33203125" style="23" customWidth="1"/>
  </cols>
  <sheetData>
    <row r="1" ht="5.25" customHeight="1" thickBot="1"/>
    <row r="2" spans="2:9" ht="18" customHeight="1">
      <c r="B2" s="85" t="s">
        <v>17</v>
      </c>
      <c r="C2" s="86"/>
      <c r="D2" s="86"/>
      <c r="E2" s="86"/>
      <c r="F2" s="86"/>
      <c r="G2" s="86"/>
      <c r="H2" s="86"/>
      <c r="I2" s="87"/>
    </row>
    <row r="3" spans="2:9" ht="12.75" customHeight="1">
      <c r="B3" s="88"/>
      <c r="C3" s="89"/>
      <c r="D3" s="89"/>
      <c r="E3" s="89"/>
      <c r="F3" s="89"/>
      <c r="G3" s="89"/>
      <c r="H3" s="89"/>
      <c r="I3" s="90"/>
    </row>
    <row r="4" spans="2:9" ht="21" customHeight="1" thickBot="1">
      <c r="B4" s="91"/>
      <c r="C4" s="92"/>
      <c r="D4" s="92"/>
      <c r="E4" s="92"/>
      <c r="F4" s="92"/>
      <c r="G4" s="92"/>
      <c r="H4" s="92"/>
      <c r="I4" s="93"/>
    </row>
    <row r="5" spans="2:9" ht="7.5" customHeight="1">
      <c r="B5" s="5"/>
      <c r="C5" s="6"/>
      <c r="D5" s="6"/>
      <c r="E5" s="6"/>
      <c r="F5" s="6"/>
      <c r="G5" s="6"/>
      <c r="H5" s="6"/>
      <c r="I5" s="7"/>
    </row>
    <row r="6" spans="2:9" ht="15.75">
      <c r="B6" s="8"/>
      <c r="C6" s="46" t="s">
        <v>11</v>
      </c>
      <c r="D6" s="9"/>
      <c r="E6" s="9"/>
      <c r="F6" s="9"/>
      <c r="G6" s="9"/>
      <c r="H6" s="1"/>
      <c r="I6" s="10"/>
    </row>
    <row r="7" spans="2:9" ht="8.25" customHeight="1">
      <c r="B7" s="8"/>
      <c r="C7" s="9"/>
      <c r="D7" s="9"/>
      <c r="E7" s="9"/>
      <c r="F7" s="9"/>
      <c r="G7" s="9"/>
      <c r="H7" s="11"/>
      <c r="I7" s="10"/>
    </row>
    <row r="8" spans="2:9" ht="15.75">
      <c r="B8" s="8"/>
      <c r="C8" s="73" t="s">
        <v>9</v>
      </c>
      <c r="D8" s="94"/>
      <c r="E8" s="94"/>
      <c r="F8" s="94"/>
      <c r="G8" s="9"/>
      <c r="H8" s="2"/>
      <c r="I8" s="10"/>
    </row>
    <row r="9" spans="2:9" ht="8.25" customHeight="1">
      <c r="B9" s="8"/>
      <c r="C9" s="47"/>
      <c r="D9" s="47"/>
      <c r="E9" s="47"/>
      <c r="F9" s="47"/>
      <c r="G9" s="9"/>
      <c r="H9" s="11"/>
      <c r="I9" s="10"/>
    </row>
    <row r="10" spans="2:9" ht="17.25" customHeight="1">
      <c r="B10" s="8"/>
      <c r="C10" s="73" t="s">
        <v>8</v>
      </c>
      <c r="D10" s="75"/>
      <c r="E10" s="75"/>
      <c r="F10" s="75"/>
      <c r="G10" s="75"/>
      <c r="H10" s="9"/>
      <c r="I10" s="10"/>
    </row>
    <row r="11" spans="2:9" ht="16.5" customHeight="1">
      <c r="B11" s="8"/>
      <c r="C11" s="75"/>
      <c r="D11" s="75"/>
      <c r="E11" s="75"/>
      <c r="F11" s="75"/>
      <c r="G11" s="75"/>
      <c r="H11" s="3"/>
      <c r="I11" s="10"/>
    </row>
    <row r="12" spans="2:9" ht="6" customHeight="1">
      <c r="B12" s="8"/>
      <c r="C12" s="48"/>
      <c r="D12" s="48"/>
      <c r="E12" s="48"/>
      <c r="F12" s="48"/>
      <c r="G12" s="48"/>
      <c r="H12" s="9"/>
      <c r="I12" s="10"/>
    </row>
    <row r="13" spans="2:9" ht="16.5" customHeight="1">
      <c r="B13" s="8"/>
      <c r="C13" s="73" t="s">
        <v>15</v>
      </c>
      <c r="D13" s="74"/>
      <c r="E13" s="74"/>
      <c r="F13" s="74"/>
      <c r="G13" s="75"/>
      <c r="H13" s="9"/>
      <c r="I13" s="10"/>
    </row>
    <row r="14" spans="2:9" ht="17.25" customHeight="1">
      <c r="B14" s="8"/>
      <c r="C14" s="74"/>
      <c r="D14" s="74"/>
      <c r="E14" s="74"/>
      <c r="F14" s="74"/>
      <c r="G14" s="75"/>
      <c r="H14" s="1"/>
      <c r="I14" s="10"/>
    </row>
    <row r="15" spans="2:9" ht="5.25" customHeight="1">
      <c r="B15" s="8"/>
      <c r="C15" s="9"/>
      <c r="D15" s="9"/>
      <c r="E15" s="9"/>
      <c r="F15" s="9"/>
      <c r="G15" s="9"/>
      <c r="H15" s="9"/>
      <c r="I15" s="10"/>
    </row>
    <row r="16" spans="2:9" ht="17.25" customHeight="1">
      <c r="B16" s="8"/>
      <c r="C16" s="73" t="s">
        <v>16</v>
      </c>
      <c r="D16" s="74"/>
      <c r="E16" s="74"/>
      <c r="F16" s="74"/>
      <c r="G16" s="75"/>
      <c r="H16" s="9"/>
      <c r="I16" s="10"/>
    </row>
    <row r="17" spans="2:9" ht="21.75" customHeight="1">
      <c r="B17" s="8"/>
      <c r="C17" s="74"/>
      <c r="D17" s="74"/>
      <c r="E17" s="74"/>
      <c r="F17" s="74"/>
      <c r="G17" s="75"/>
      <c r="H17" s="1"/>
      <c r="I17" s="10"/>
    </row>
    <row r="18" spans="2:9" ht="6.75" customHeight="1">
      <c r="B18" s="8"/>
      <c r="C18" s="9"/>
      <c r="D18" s="9"/>
      <c r="E18" s="9"/>
      <c r="F18" s="9"/>
      <c r="G18" s="9"/>
      <c r="H18" s="9"/>
      <c r="I18" s="10"/>
    </row>
    <row r="19" spans="2:9" ht="28.5" customHeight="1">
      <c r="B19" s="8"/>
      <c r="C19" s="95" t="s">
        <v>18</v>
      </c>
      <c r="D19" s="96"/>
      <c r="E19" s="78" t="s">
        <v>19</v>
      </c>
      <c r="F19" s="78" t="s">
        <v>20</v>
      </c>
      <c r="G19" s="78" t="s">
        <v>21</v>
      </c>
      <c r="H19" s="78" t="s">
        <v>22</v>
      </c>
      <c r="I19" s="10"/>
    </row>
    <row r="20" spans="2:9" ht="16.5" customHeight="1">
      <c r="B20" s="8"/>
      <c r="C20" s="78" t="s">
        <v>12</v>
      </c>
      <c r="D20" s="78" t="s">
        <v>10</v>
      </c>
      <c r="E20" s="83"/>
      <c r="F20" s="83"/>
      <c r="G20" s="83"/>
      <c r="H20" s="79"/>
      <c r="I20" s="10"/>
    </row>
    <row r="21" spans="2:9" ht="15.75" customHeight="1" thickBot="1">
      <c r="B21" s="8"/>
      <c r="C21" s="83"/>
      <c r="D21" s="83"/>
      <c r="E21" s="84"/>
      <c r="F21" s="84"/>
      <c r="G21" s="83"/>
      <c r="H21" s="80"/>
      <c r="I21" s="10"/>
    </row>
    <row r="22" spans="2:9" ht="16.5" thickBot="1">
      <c r="B22" s="8"/>
      <c r="C22" s="20">
        <f>X69/2</f>
        <v>0</v>
      </c>
      <c r="D22" s="21">
        <f>Z69/2</f>
        <v>0</v>
      </c>
      <c r="E22" s="20">
        <f>IF($H$14="",0,IF($H$14=0,0,$AH$95))/2</f>
        <v>0</v>
      </c>
      <c r="F22" s="21">
        <f>IF($H$17="",0,IF($H$17=0,0,IF(H14&gt;0,0,$AQ$117)))/2</f>
        <v>0</v>
      </c>
      <c r="G22" s="21">
        <f>(Y68+AI95+AR117)/2</f>
        <v>0</v>
      </c>
      <c r="H22" s="22">
        <f>SUM(C22:G22)</f>
        <v>0</v>
      </c>
      <c r="I22" s="10"/>
    </row>
    <row r="23" spans="2:9" ht="8.25" customHeight="1" thickBot="1">
      <c r="B23" s="12"/>
      <c r="C23" s="13"/>
      <c r="D23" s="13"/>
      <c r="E23" s="13"/>
      <c r="F23" s="13"/>
      <c r="G23" s="13"/>
      <c r="H23" s="13"/>
      <c r="I23" s="14"/>
    </row>
    <row r="25" ht="12.75">
      <c r="H25" s="59"/>
    </row>
    <row r="30" spans="3:7" ht="12.75">
      <c r="C30" s="15"/>
      <c r="D30" s="15"/>
      <c r="E30" s="15"/>
      <c r="F30" s="15"/>
      <c r="G30" s="15"/>
    </row>
    <row r="31" spans="11:14" ht="12.75">
      <c r="K31" s="24"/>
      <c r="L31" s="25"/>
      <c r="M31" s="26"/>
      <c r="N31" s="26"/>
    </row>
    <row r="32" spans="11:14" ht="12.75">
      <c r="K32" s="24"/>
      <c r="L32" s="25"/>
      <c r="M32" s="26"/>
      <c r="N32" s="26"/>
    </row>
    <row r="33" spans="11:14" ht="12.75">
      <c r="K33" s="24"/>
      <c r="L33" s="25"/>
      <c r="M33" s="26"/>
      <c r="N33" s="26"/>
    </row>
    <row r="34" spans="11:14" ht="12.75">
      <c r="K34" s="24"/>
      <c r="L34" s="25"/>
      <c r="M34" s="26"/>
      <c r="N34" s="26"/>
    </row>
    <row r="35" spans="11:14" ht="12.75">
      <c r="K35" s="24"/>
      <c r="L35" s="25"/>
      <c r="M35" s="26"/>
      <c r="N35" s="26"/>
    </row>
    <row r="36" spans="11:14" ht="12.75">
      <c r="K36" s="24"/>
      <c r="L36" s="25"/>
      <c r="M36" s="26"/>
      <c r="N36" s="26"/>
    </row>
    <row r="37" spans="11:14" ht="12.75">
      <c r="K37" s="24"/>
      <c r="L37" s="25"/>
      <c r="M37" s="26"/>
      <c r="N37" s="26"/>
    </row>
    <row r="38" spans="11:14" ht="12.75">
      <c r="K38" s="24"/>
      <c r="L38" s="25"/>
      <c r="M38" s="26"/>
      <c r="N38" s="26"/>
    </row>
    <row r="39" spans="11:23" ht="12.75">
      <c r="K39" s="24"/>
      <c r="L39" s="28"/>
      <c r="M39" s="24"/>
      <c r="N39" s="24"/>
      <c r="O39" s="60"/>
      <c r="P39" s="60"/>
      <c r="Q39" s="60"/>
      <c r="R39" s="60"/>
      <c r="S39" s="60"/>
      <c r="T39" s="60"/>
      <c r="U39" s="60"/>
      <c r="V39" s="60"/>
      <c r="W39" s="60"/>
    </row>
    <row r="40" spans="11:23" ht="18">
      <c r="K40" s="24"/>
      <c r="L40" s="28"/>
      <c r="M40" s="24"/>
      <c r="N40" s="24"/>
      <c r="O40" s="44"/>
      <c r="P40" s="27"/>
      <c r="Q40" s="61"/>
      <c r="R40" s="24"/>
      <c r="S40" s="24"/>
      <c r="T40" s="60"/>
      <c r="U40" s="60"/>
      <c r="V40" s="60"/>
      <c r="W40" s="60"/>
    </row>
    <row r="41" spans="11:23" ht="12.75">
      <c r="K41" s="24"/>
      <c r="L41" s="28"/>
      <c r="M41" s="24"/>
      <c r="N41" s="24"/>
      <c r="O41" s="27"/>
      <c r="P41" s="27"/>
      <c r="Q41" s="28"/>
      <c r="R41" s="24"/>
      <c r="S41" s="24"/>
      <c r="T41" s="60"/>
      <c r="U41" s="60"/>
      <c r="V41" s="60"/>
      <c r="W41" s="60"/>
    </row>
    <row r="42" spans="11:23" ht="12.75">
      <c r="K42" s="24"/>
      <c r="L42" s="28"/>
      <c r="M42" s="24"/>
      <c r="N42" s="24"/>
      <c r="O42" s="27"/>
      <c r="P42" s="27"/>
      <c r="Q42" s="29"/>
      <c r="R42" s="24"/>
      <c r="S42" s="24"/>
      <c r="T42" s="60"/>
      <c r="U42" s="60"/>
      <c r="V42" s="60"/>
      <c r="W42" s="60"/>
    </row>
    <row r="43" spans="11:23" ht="12.75">
      <c r="K43" s="24"/>
      <c r="L43" s="28"/>
      <c r="M43" s="30"/>
      <c r="N43" s="24"/>
      <c r="O43" s="31"/>
      <c r="P43" s="35"/>
      <c r="Q43" s="33"/>
      <c r="R43" s="24"/>
      <c r="S43" s="24"/>
      <c r="T43" s="60"/>
      <c r="U43" s="60"/>
      <c r="V43" s="60"/>
      <c r="W43" s="60"/>
    </row>
    <row r="44" spans="11:23" ht="12.75">
      <c r="K44" s="24"/>
      <c r="L44" s="28"/>
      <c r="M44" s="30"/>
      <c r="N44" s="24"/>
      <c r="O44" s="34"/>
      <c r="P44" s="34"/>
      <c r="Q44" s="35"/>
      <c r="R44" s="27"/>
      <c r="S44" s="34"/>
      <c r="T44" s="60"/>
      <c r="U44" s="60"/>
      <c r="V44" s="60"/>
      <c r="W44" s="60"/>
    </row>
    <row r="45" spans="11:23" ht="12.75">
      <c r="K45" s="24"/>
      <c r="L45" s="28"/>
      <c r="M45" s="24"/>
      <c r="N45" s="24"/>
      <c r="O45" s="35"/>
      <c r="P45" s="27"/>
      <c r="Q45" s="36"/>
      <c r="R45" s="24"/>
      <c r="S45" s="24"/>
      <c r="T45" s="60"/>
      <c r="U45" s="60"/>
      <c r="V45" s="60"/>
      <c r="W45" s="60"/>
    </row>
    <row r="46" spans="11:23" ht="12.75">
      <c r="K46" s="24"/>
      <c r="L46" s="28"/>
      <c r="M46" s="24"/>
      <c r="N46" s="24"/>
      <c r="O46" s="24"/>
      <c r="P46" s="34"/>
      <c r="Q46" s="24"/>
      <c r="R46" s="24"/>
      <c r="S46" s="24"/>
      <c r="T46" s="60"/>
      <c r="U46" s="60"/>
      <c r="V46" s="60"/>
      <c r="W46" s="60"/>
    </row>
    <row r="47" spans="11:23" ht="12.75">
      <c r="K47" s="24"/>
      <c r="L47" s="28"/>
      <c r="M47" s="24"/>
      <c r="N47" s="24"/>
      <c r="O47" s="24"/>
      <c r="P47" s="24"/>
      <c r="Q47" s="24"/>
      <c r="R47" s="24"/>
      <c r="S47" s="24"/>
      <c r="T47" s="60"/>
      <c r="U47" s="60"/>
      <c r="V47" s="60"/>
      <c r="W47" s="60"/>
    </row>
    <row r="48" spans="11:23" ht="12.75">
      <c r="K48" s="24"/>
      <c r="L48" s="28"/>
      <c r="M48" s="37"/>
      <c r="N48" s="37"/>
      <c r="O48" s="37"/>
      <c r="P48" s="37"/>
      <c r="Q48" s="37"/>
      <c r="R48" s="24"/>
      <c r="S48" s="24"/>
      <c r="T48" s="60"/>
      <c r="U48" s="60"/>
      <c r="V48" s="60"/>
      <c r="W48" s="60"/>
    </row>
    <row r="49" spans="11:23" ht="12.75">
      <c r="K49" s="24"/>
      <c r="L49" s="28"/>
      <c r="M49" s="81"/>
      <c r="N49" s="81"/>
      <c r="O49" s="81"/>
      <c r="P49" s="81"/>
      <c r="Q49" s="81"/>
      <c r="R49" s="24"/>
      <c r="S49" s="24"/>
      <c r="T49" s="60"/>
      <c r="U49" s="60"/>
      <c r="V49" s="60"/>
      <c r="W49" s="60"/>
    </row>
    <row r="50" spans="11:23" ht="12.75">
      <c r="K50" s="24"/>
      <c r="L50" s="28"/>
      <c r="M50" s="82"/>
      <c r="N50" s="82"/>
      <c r="O50" s="82"/>
      <c r="P50" s="82"/>
      <c r="Q50" s="82"/>
      <c r="R50" s="24"/>
      <c r="S50" s="24"/>
      <c r="T50" s="60"/>
      <c r="U50" s="60"/>
      <c r="V50" s="60"/>
      <c r="W50" s="60"/>
    </row>
    <row r="51" spans="11:23" ht="12.75">
      <c r="K51" s="24"/>
      <c r="L51" s="28"/>
      <c r="M51" s="37"/>
      <c r="N51" s="37"/>
      <c r="O51" s="37"/>
      <c r="P51" s="37"/>
      <c r="Q51" s="37"/>
      <c r="R51" s="24"/>
      <c r="S51" s="24"/>
      <c r="T51" s="60"/>
      <c r="U51" s="60"/>
      <c r="V51" s="60"/>
      <c r="W51" s="60"/>
    </row>
    <row r="52" spans="11:23" ht="12.75">
      <c r="K52" s="24"/>
      <c r="L52" s="28"/>
      <c r="M52" s="28"/>
      <c r="N52" s="28"/>
      <c r="O52" s="62"/>
      <c r="P52" s="63"/>
      <c r="Q52" s="28"/>
      <c r="R52" s="24"/>
      <c r="S52" s="34"/>
      <c r="T52" s="60"/>
      <c r="U52" s="60"/>
      <c r="V52" s="60"/>
      <c r="W52" s="60"/>
    </row>
    <row r="53" spans="11:23" ht="12.75">
      <c r="K53" s="37"/>
      <c r="L53" s="28"/>
      <c r="M53" s="28"/>
      <c r="N53" s="28"/>
      <c r="O53" s="62"/>
      <c r="P53" s="63"/>
      <c r="Q53" s="28"/>
      <c r="R53" s="24"/>
      <c r="S53" s="34"/>
      <c r="T53" s="60"/>
      <c r="U53" s="60"/>
      <c r="V53" s="60"/>
      <c r="W53" s="60"/>
    </row>
    <row r="54" spans="3:23" ht="12.75">
      <c r="C54" s="18"/>
      <c r="D54" s="18"/>
      <c r="E54" s="18"/>
      <c r="F54" s="19"/>
      <c r="G54" s="19"/>
      <c r="H54" s="19"/>
      <c r="I54" s="18"/>
      <c r="J54" s="37"/>
      <c r="K54" s="37"/>
      <c r="L54" s="28"/>
      <c r="M54" s="28"/>
      <c r="N54" s="28"/>
      <c r="O54" s="62"/>
      <c r="P54" s="63"/>
      <c r="Q54" s="28"/>
      <c r="R54" s="24"/>
      <c r="S54" s="34"/>
      <c r="T54" s="60"/>
      <c r="U54" s="60"/>
      <c r="V54" s="60"/>
      <c r="W54" s="60"/>
    </row>
    <row r="55" spans="3:23" ht="12.75">
      <c r="C55" s="18"/>
      <c r="D55" s="18"/>
      <c r="E55" s="18"/>
      <c r="F55" s="19"/>
      <c r="G55" s="19"/>
      <c r="H55" s="19"/>
      <c r="I55" s="18"/>
      <c r="J55" s="37"/>
      <c r="K55" s="37"/>
      <c r="L55" s="28"/>
      <c r="M55" s="28"/>
      <c r="N55" s="28"/>
      <c r="O55" s="62"/>
      <c r="P55" s="63"/>
      <c r="Q55" s="28"/>
      <c r="R55" s="24"/>
      <c r="S55" s="34"/>
      <c r="T55" s="60"/>
      <c r="U55" s="60"/>
      <c r="V55" s="60"/>
      <c r="W55" s="60"/>
    </row>
    <row r="56" spans="3:23" ht="12.75">
      <c r="C56" s="18"/>
      <c r="D56" s="18"/>
      <c r="E56" s="18"/>
      <c r="F56" s="19"/>
      <c r="G56" s="19"/>
      <c r="H56" s="19"/>
      <c r="I56" s="18"/>
      <c r="J56" s="37"/>
      <c r="K56" s="37"/>
      <c r="L56" s="28"/>
      <c r="M56" s="28"/>
      <c r="N56" s="28"/>
      <c r="O56" s="62"/>
      <c r="P56" s="63"/>
      <c r="Q56" s="28"/>
      <c r="R56" s="24"/>
      <c r="S56" s="34"/>
      <c r="T56" s="60"/>
      <c r="U56" s="60"/>
      <c r="V56" s="60"/>
      <c r="W56" s="60"/>
    </row>
    <row r="57" spans="3:23" ht="12.75">
      <c r="C57" s="18"/>
      <c r="D57" s="18"/>
      <c r="E57" s="18"/>
      <c r="F57" s="19"/>
      <c r="G57" s="19"/>
      <c r="H57" s="19"/>
      <c r="I57" s="18"/>
      <c r="J57" s="37"/>
      <c r="K57" s="37"/>
      <c r="L57" s="28"/>
      <c r="M57" s="28"/>
      <c r="N57" s="28"/>
      <c r="O57" s="36"/>
      <c r="P57" s="63"/>
      <c r="Q57" s="28"/>
      <c r="R57" s="24"/>
      <c r="S57" s="34"/>
      <c r="T57" s="60"/>
      <c r="U57" s="60"/>
      <c r="V57" s="60"/>
      <c r="W57" s="60"/>
    </row>
    <row r="58" spans="3:23" ht="12.75">
      <c r="C58" s="16"/>
      <c r="D58" s="16"/>
      <c r="E58" s="16"/>
      <c r="F58" s="16"/>
      <c r="G58" s="16"/>
      <c r="H58" s="17"/>
      <c r="I58" s="16"/>
      <c r="J58" s="24"/>
      <c r="K58" s="24"/>
      <c r="L58" s="28"/>
      <c r="M58" s="28"/>
      <c r="N58" s="28"/>
      <c r="O58" s="36"/>
      <c r="P58" s="63"/>
      <c r="Q58" s="28"/>
      <c r="R58" s="24"/>
      <c r="S58" s="34"/>
      <c r="T58" s="60"/>
      <c r="U58" s="60"/>
      <c r="V58" s="60"/>
      <c r="W58" s="60"/>
    </row>
    <row r="59" spans="3:23" ht="12.75">
      <c r="C59" s="16"/>
      <c r="D59" s="16"/>
      <c r="E59" s="16"/>
      <c r="F59" s="16"/>
      <c r="G59" s="16"/>
      <c r="H59" s="16"/>
      <c r="I59" s="16"/>
      <c r="J59" s="24"/>
      <c r="K59" s="24"/>
      <c r="L59" s="28"/>
      <c r="M59" s="28"/>
      <c r="N59" s="28"/>
      <c r="O59" s="36"/>
      <c r="P59" s="63"/>
      <c r="Q59" s="28"/>
      <c r="R59" s="24"/>
      <c r="S59" s="34"/>
      <c r="T59" s="60"/>
      <c r="U59" s="60"/>
      <c r="V59" s="60"/>
      <c r="W59" s="60"/>
    </row>
    <row r="60" spans="12:23" ht="12.75">
      <c r="L60" s="60"/>
      <c r="M60" s="28"/>
      <c r="N60" s="28"/>
      <c r="O60" s="36"/>
      <c r="P60" s="63"/>
      <c r="Q60" s="28"/>
      <c r="R60" s="24"/>
      <c r="S60" s="34"/>
      <c r="T60" s="60"/>
      <c r="U60" s="60"/>
      <c r="V60" s="60"/>
      <c r="W60" s="60"/>
    </row>
    <row r="61" spans="12:23" ht="12.75">
      <c r="L61" s="60"/>
      <c r="M61" s="28"/>
      <c r="N61" s="28"/>
      <c r="O61" s="36"/>
      <c r="P61" s="63"/>
      <c r="Q61" s="28"/>
      <c r="R61" s="24"/>
      <c r="S61" s="34"/>
      <c r="T61" s="60"/>
      <c r="U61" s="60"/>
      <c r="V61" s="60"/>
      <c r="W61" s="60"/>
    </row>
    <row r="62" spans="12:23" ht="12.75">
      <c r="L62" s="60"/>
      <c r="M62" s="37"/>
      <c r="N62" s="37"/>
      <c r="O62" s="37"/>
      <c r="P62" s="64"/>
      <c r="Q62" s="64"/>
      <c r="R62" s="37"/>
      <c r="S62" s="37"/>
      <c r="T62" s="60"/>
      <c r="U62" s="60"/>
      <c r="V62" s="60"/>
      <c r="W62" s="60"/>
    </row>
    <row r="63" spans="12:23" ht="12.75"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</row>
    <row r="65" ht="18">
      <c r="W65" s="44" t="s">
        <v>25</v>
      </c>
    </row>
    <row r="67" spans="24:25" ht="12.75">
      <c r="X67" s="45"/>
      <c r="Y67" s="58"/>
    </row>
    <row r="68" spans="21:27" ht="12.75">
      <c r="U68" s="30" t="s">
        <v>5</v>
      </c>
      <c r="V68" s="24"/>
      <c r="W68" s="31">
        <f>H6</f>
        <v>0</v>
      </c>
      <c r="X68" s="32"/>
      <c r="Y68" s="35">
        <f>IF(H8=3,IF(W68&gt;20000000,Z71,Y69),IF(H8=4,IF(W68&gt;20000000,Z72,Y69),IF(H8=5,IF(W68&gt;20000000,Z72,Y69),Y69)))</f>
        <v>0</v>
      </c>
      <c r="Z68" s="24"/>
      <c r="AA68" s="24"/>
    </row>
    <row r="69" spans="21:27" ht="12.75">
      <c r="U69" s="30" t="s">
        <v>7</v>
      </c>
      <c r="V69" s="24"/>
      <c r="W69" s="34">
        <f>SUM($AA$77:$AA$86)</f>
        <v>0</v>
      </c>
      <c r="X69" s="34">
        <f>W69*2</f>
        <v>0</v>
      </c>
      <c r="Y69" s="35">
        <f>IF($H$8=3,X69*0.5,IF($H$8=4,X69*1,IF($H$8=5,X69*1,0)))</f>
        <v>0</v>
      </c>
      <c r="Z69" s="27">
        <f>IF($H$11="yes",-(X69+Y69)*0.12,0)</f>
        <v>0</v>
      </c>
      <c r="AA69" s="34">
        <f>SUM(X69:Z69)</f>
        <v>0</v>
      </c>
    </row>
    <row r="70" spans="21:27" ht="12.75">
      <c r="U70" s="24"/>
      <c r="V70" s="24"/>
      <c r="W70" s="35"/>
      <c r="X70" s="27"/>
      <c r="Y70" s="36"/>
      <c r="Z70" s="24"/>
      <c r="AA70" s="24"/>
    </row>
    <row r="71" spans="21:27" ht="12.75">
      <c r="U71" s="24" t="s">
        <v>6</v>
      </c>
      <c r="V71" s="24"/>
      <c r="W71" s="24">
        <v>1</v>
      </c>
      <c r="X71" s="34"/>
      <c r="Y71" s="24" t="s">
        <v>13</v>
      </c>
      <c r="Z71" s="35">
        <f>W85</f>
        <v>1255615</v>
      </c>
      <c r="AA71" s="24"/>
    </row>
    <row r="72" spans="21:27" ht="12.75">
      <c r="U72" s="24"/>
      <c r="V72" s="24"/>
      <c r="W72" s="24"/>
      <c r="X72" s="24"/>
      <c r="Y72" s="30" t="s">
        <v>14</v>
      </c>
      <c r="Z72" s="35">
        <f>W85*2</f>
        <v>2511230</v>
      </c>
      <c r="AA72" s="24"/>
    </row>
    <row r="73" spans="21:27" ht="12.75">
      <c r="U73" s="37"/>
      <c r="V73" s="37"/>
      <c r="W73" s="37"/>
      <c r="X73" s="37"/>
      <c r="Y73" s="37"/>
      <c r="Z73" s="24"/>
      <c r="AA73" s="24"/>
    </row>
    <row r="74" spans="21:27" ht="12.75">
      <c r="U74" s="76" t="s">
        <v>0</v>
      </c>
      <c r="V74" s="76" t="s">
        <v>1</v>
      </c>
      <c r="W74" s="76" t="s">
        <v>2</v>
      </c>
      <c r="X74" s="76" t="s">
        <v>3</v>
      </c>
      <c r="Y74" s="76" t="s">
        <v>4</v>
      </c>
      <c r="Z74" s="24"/>
      <c r="AA74" s="24"/>
    </row>
    <row r="75" spans="21:32" ht="12.75">
      <c r="U75" s="77"/>
      <c r="V75" s="77"/>
      <c r="W75" s="77"/>
      <c r="X75" s="77"/>
      <c r="Y75" s="77"/>
      <c r="Z75" s="24"/>
      <c r="AA75" s="24"/>
      <c r="AF75" s="23">
        <v>1.015</v>
      </c>
    </row>
    <row r="76" spans="21:31" ht="12.75">
      <c r="U76" s="38"/>
      <c r="V76" s="38"/>
      <c r="W76" s="38"/>
      <c r="X76" s="38"/>
      <c r="Y76" s="38"/>
      <c r="Z76" s="24"/>
      <c r="AA76" s="24"/>
      <c r="AD76" s="69" t="s">
        <v>23</v>
      </c>
      <c r="AE76" s="70"/>
    </row>
    <row r="77" spans="21:31" ht="12.75">
      <c r="U77" s="39">
        <v>0</v>
      </c>
      <c r="V77" s="39">
        <v>2000</v>
      </c>
      <c r="W77" s="40">
        <v>5075</v>
      </c>
      <c r="X77" s="41">
        <v>0</v>
      </c>
      <c r="Y77" s="39">
        <v>0</v>
      </c>
      <c r="Z77" s="24"/>
      <c r="AA77" s="34">
        <f>IF(W68=0,0,IF(W68&gt;$V$77,0,5075))</f>
        <v>0</v>
      </c>
      <c r="AD77" s="40">
        <v>5000</v>
      </c>
      <c r="AE77" s="41">
        <v>0</v>
      </c>
    </row>
    <row r="78" spans="21:32" ht="12.75">
      <c r="U78" s="39">
        <v>2000</v>
      </c>
      <c r="V78" s="39">
        <v>20000</v>
      </c>
      <c r="W78" s="40">
        <v>5075</v>
      </c>
      <c r="X78" s="41">
        <v>0.000210603</v>
      </c>
      <c r="Y78" s="39">
        <v>2000</v>
      </c>
      <c r="Z78" s="36"/>
      <c r="AA78" s="34">
        <f aca="true" t="shared" si="0" ref="AA78:AA85">IF(OR(W$68&lt;=$U78,W$68&gt;$V78),0,(+$W78+($X78*(W$68-$Y78)*1000)))</f>
        <v>0</v>
      </c>
      <c r="AD78" s="40">
        <v>5000</v>
      </c>
      <c r="AE78" s="41">
        <v>0.000207491</v>
      </c>
      <c r="AF78" s="66">
        <f>ROUND(AE78*AF$75,9)</f>
        <v>0.000210603</v>
      </c>
    </row>
    <row r="79" spans="21:32" ht="12.75">
      <c r="U79" s="39">
        <v>20000</v>
      </c>
      <c r="V79" s="39">
        <v>100000</v>
      </c>
      <c r="W79" s="40">
        <f aca="true" t="shared" si="1" ref="W79:W86">Z79</f>
        <v>8866</v>
      </c>
      <c r="X79" s="41">
        <v>0.000168481</v>
      </c>
      <c r="Y79" s="39">
        <v>20000</v>
      </c>
      <c r="Z79" s="65">
        <f>ROUND(X78*((V78-U78)*1000)+W78,0)</f>
        <v>8866</v>
      </c>
      <c r="AA79" s="34">
        <f t="shared" si="0"/>
        <v>0</v>
      </c>
      <c r="AB79" s="23" t="s">
        <v>24</v>
      </c>
      <c r="AD79" s="40">
        <v>8735</v>
      </c>
      <c r="AE79" s="41">
        <v>0.000165991</v>
      </c>
      <c r="AF79" s="66">
        <f aca="true" t="shared" si="2" ref="AF79:AF84">ROUND(AE79*AF$75,9)</f>
        <v>0.000168481</v>
      </c>
    </row>
    <row r="80" spans="21:32" ht="12.75">
      <c r="U80" s="39">
        <v>100000</v>
      </c>
      <c r="V80" s="39">
        <v>200000</v>
      </c>
      <c r="W80" s="40">
        <f t="shared" si="1"/>
        <v>22344</v>
      </c>
      <c r="X80" s="41">
        <v>0.000109512</v>
      </c>
      <c r="Y80" s="39">
        <v>100000</v>
      </c>
      <c r="Z80" s="65">
        <f aca="true" t="shared" si="3" ref="Z80:Z86">ROUND(X79*((V79-U79)*1000)+W79,0)</f>
        <v>22344</v>
      </c>
      <c r="AA80" s="34">
        <f t="shared" si="0"/>
        <v>0</v>
      </c>
      <c r="AD80" s="40">
        <v>22014</v>
      </c>
      <c r="AE80" s="41">
        <v>0.000107894</v>
      </c>
      <c r="AF80" s="66">
        <f t="shared" si="2"/>
        <v>0.000109512</v>
      </c>
    </row>
    <row r="81" spans="21:32" ht="12.75">
      <c r="U81" s="39">
        <v>200000</v>
      </c>
      <c r="V81" s="39">
        <v>1000000</v>
      </c>
      <c r="W81" s="40">
        <f t="shared" si="1"/>
        <v>33295</v>
      </c>
      <c r="X81" s="41">
        <v>9.2663E-05</v>
      </c>
      <c r="Y81" s="39">
        <v>200000</v>
      </c>
      <c r="Z81" s="65">
        <f t="shared" si="3"/>
        <v>33295</v>
      </c>
      <c r="AA81" s="34">
        <f t="shared" si="0"/>
        <v>0</v>
      </c>
      <c r="AD81" s="40">
        <v>32803</v>
      </c>
      <c r="AE81" s="41">
        <v>9.1294E-05</v>
      </c>
      <c r="AF81" s="66">
        <f t="shared" si="2"/>
        <v>9.2663E-05</v>
      </c>
    </row>
    <row r="82" spans="21:32" ht="12.75">
      <c r="U82" s="39">
        <v>1000000</v>
      </c>
      <c r="V82" s="39">
        <v>2000000</v>
      </c>
      <c r="W82" s="42">
        <f t="shared" si="1"/>
        <v>107425</v>
      </c>
      <c r="X82" s="41">
        <v>7.5816E-05</v>
      </c>
      <c r="Y82" s="39">
        <v>1000000</v>
      </c>
      <c r="Z82" s="65">
        <f t="shared" si="3"/>
        <v>107425</v>
      </c>
      <c r="AA82" s="34">
        <f t="shared" si="0"/>
        <v>0</v>
      </c>
      <c r="AD82" s="42">
        <v>105838</v>
      </c>
      <c r="AE82" s="41">
        <v>7.4696E-05</v>
      </c>
      <c r="AF82" s="66">
        <f t="shared" si="2"/>
        <v>7.5816E-05</v>
      </c>
    </row>
    <row r="83" spans="21:32" ht="12.75">
      <c r="U83" s="39">
        <v>2000000</v>
      </c>
      <c r="V83" s="39">
        <v>6000000</v>
      </c>
      <c r="W83" s="42">
        <f t="shared" si="1"/>
        <v>183241</v>
      </c>
      <c r="X83" s="41">
        <v>6.7393E-05</v>
      </c>
      <c r="Y83" s="39">
        <v>2000000</v>
      </c>
      <c r="Z83" s="65">
        <f t="shared" si="3"/>
        <v>183241</v>
      </c>
      <c r="AA83" s="34">
        <f t="shared" si="0"/>
        <v>0</v>
      </c>
      <c r="AD83" s="42">
        <v>180534</v>
      </c>
      <c r="AE83" s="41">
        <v>6.6397E-05</v>
      </c>
      <c r="AF83" s="66">
        <f t="shared" si="2"/>
        <v>6.7393E-05</v>
      </c>
    </row>
    <row r="84" spans="21:32" ht="12.75">
      <c r="U84" s="39">
        <v>6000000</v>
      </c>
      <c r="V84" s="39">
        <v>20000000</v>
      </c>
      <c r="W84" s="42">
        <f t="shared" si="1"/>
        <v>452813</v>
      </c>
      <c r="X84" s="41">
        <v>5.7343E-05</v>
      </c>
      <c r="Y84" s="39">
        <v>6000000</v>
      </c>
      <c r="Z84" s="65">
        <f t="shared" si="3"/>
        <v>452813</v>
      </c>
      <c r="AA84" s="34">
        <f t="shared" si="0"/>
        <v>0</v>
      </c>
      <c r="AD84" s="42">
        <v>446122</v>
      </c>
      <c r="AE84" s="41">
        <v>5.6496E-05</v>
      </c>
      <c r="AF84" s="66">
        <f t="shared" si="2"/>
        <v>5.7343E-05</v>
      </c>
    </row>
    <row r="85" spans="21:31" ht="12.75">
      <c r="U85" s="39">
        <v>20000000</v>
      </c>
      <c r="V85" s="39">
        <v>40000000</v>
      </c>
      <c r="W85" s="42">
        <f t="shared" si="1"/>
        <v>1255615</v>
      </c>
      <c r="X85" s="41">
        <f>0.000050403*W71</f>
        <v>5.0403E-05</v>
      </c>
      <c r="Y85" s="39">
        <v>20000000</v>
      </c>
      <c r="Z85" s="65">
        <f t="shared" si="3"/>
        <v>1255615</v>
      </c>
      <c r="AA85" s="34">
        <f t="shared" si="0"/>
        <v>0</v>
      </c>
      <c r="AD85" s="42">
        <v>1237066</v>
      </c>
      <c r="AE85" s="41">
        <v>5.0403E-05</v>
      </c>
    </row>
    <row r="86" spans="21:31" ht="12.75">
      <c r="U86" s="39">
        <v>40000000</v>
      </c>
      <c r="V86" s="39"/>
      <c r="W86" s="42">
        <f t="shared" si="1"/>
        <v>2263675</v>
      </c>
      <c r="X86" s="41">
        <f>0.000033005*W71</f>
        <v>3.3005E-05</v>
      </c>
      <c r="Y86" s="39">
        <v>40000000</v>
      </c>
      <c r="Z86" s="65">
        <f t="shared" si="3"/>
        <v>2263675</v>
      </c>
      <c r="AA86" s="34">
        <f>IF(W68&lt;=$U$86,0,(+$W$86+($X$86*(W68-$Y$86)*1000)))</f>
        <v>0</v>
      </c>
      <c r="AD86" s="42">
        <v>2245126</v>
      </c>
      <c r="AE86" s="41">
        <v>3.3005E-05</v>
      </c>
    </row>
    <row r="87" spans="21:27" ht="12.75">
      <c r="U87" s="38"/>
      <c r="V87" s="38"/>
      <c r="W87" s="38"/>
      <c r="X87" s="43"/>
      <c r="Y87" s="43"/>
      <c r="Z87" s="37"/>
      <c r="AA87" s="37"/>
    </row>
    <row r="88" spans="21:27" ht="12.75">
      <c r="U88" s="24"/>
      <c r="V88" s="24"/>
      <c r="W88" s="24"/>
      <c r="X88" s="24"/>
      <c r="Y88" s="28"/>
      <c r="Z88" s="24"/>
      <c r="AA88" s="24"/>
    </row>
    <row r="91" ht="18">
      <c r="AG91" s="44" t="s">
        <v>26</v>
      </c>
    </row>
    <row r="93" ht="12.75">
      <c r="AH93" s="45"/>
    </row>
    <row r="94" spans="31:37" ht="12.75">
      <c r="AE94" s="30" t="s">
        <v>5</v>
      </c>
      <c r="AF94" s="24"/>
      <c r="AG94" s="31">
        <f>H14</f>
        <v>0</v>
      </c>
      <c r="AH94" s="32"/>
      <c r="AI94" s="33"/>
      <c r="AJ94" s="24"/>
      <c r="AK94" s="24"/>
    </row>
    <row r="95" spans="31:37" ht="12.75">
      <c r="AE95" s="30" t="s">
        <v>7</v>
      </c>
      <c r="AF95" s="24"/>
      <c r="AG95" s="34">
        <f>SUM($AK$103:$AK$106)</f>
        <v>19275</v>
      </c>
      <c r="AH95" s="34">
        <f>AG95*2</f>
        <v>38550</v>
      </c>
      <c r="AI95" s="35">
        <f>IF(E22=0,0,IF($H$8=3,AH95*0.5,IF($H$8=4,AH95*1,IF($H$8=5,AH95*1,0))))</f>
        <v>0</v>
      </c>
      <c r="AJ95" s="24"/>
      <c r="AK95" s="24"/>
    </row>
    <row r="96" spans="31:37" ht="12.75">
      <c r="AE96" s="24"/>
      <c r="AF96" s="24"/>
      <c r="AG96" s="35"/>
      <c r="AH96" s="27">
        <f>AH95*0.88</f>
        <v>33924</v>
      </c>
      <c r="AI96" s="36"/>
      <c r="AJ96" s="24"/>
      <c r="AK96" s="24"/>
    </row>
    <row r="97" spans="31:37" ht="12.75">
      <c r="AE97" s="24" t="s">
        <v>6</v>
      </c>
      <c r="AF97" s="24"/>
      <c r="AG97" s="24">
        <v>1</v>
      </c>
      <c r="AH97" s="34"/>
      <c r="AI97" s="24"/>
      <c r="AJ97" s="24"/>
      <c r="AK97" s="24"/>
    </row>
    <row r="98" spans="31:37" ht="12.75">
      <c r="AE98" s="24"/>
      <c r="AF98" s="24"/>
      <c r="AG98" s="24"/>
      <c r="AH98" s="24"/>
      <c r="AI98" s="24"/>
      <c r="AJ98" s="24"/>
      <c r="AK98" s="24"/>
    </row>
    <row r="99" spans="31:37" ht="12.75">
      <c r="AE99" s="37"/>
      <c r="AF99" s="37"/>
      <c r="AG99" s="37"/>
      <c r="AH99" s="37"/>
      <c r="AI99" s="37"/>
      <c r="AJ99" s="24"/>
      <c r="AK99" s="24"/>
    </row>
    <row r="100" spans="31:37" ht="12.75">
      <c r="AE100" s="76" t="s">
        <v>0</v>
      </c>
      <c r="AF100" s="76" t="s">
        <v>1</v>
      </c>
      <c r="AG100" s="76" t="s">
        <v>2</v>
      </c>
      <c r="AH100" s="76" t="s">
        <v>3</v>
      </c>
      <c r="AI100" s="76" t="s">
        <v>4</v>
      </c>
      <c r="AJ100" s="24"/>
      <c r="AK100" s="24"/>
    </row>
    <row r="101" spans="31:42" ht="12.75">
      <c r="AE101" s="77"/>
      <c r="AF101" s="77"/>
      <c r="AG101" s="77"/>
      <c r="AH101" s="77"/>
      <c r="AI101" s="77"/>
      <c r="AJ101" s="24"/>
      <c r="AK101" s="24"/>
      <c r="AP101" s="23">
        <v>1.015</v>
      </c>
    </row>
    <row r="102" spans="31:42" ht="12.75">
      <c r="AE102" s="38"/>
      <c r="AF102" s="38"/>
      <c r="AG102" s="38"/>
      <c r="AH102" s="38"/>
      <c r="AI102" s="38"/>
      <c r="AJ102" s="24"/>
      <c r="AK102" s="24"/>
      <c r="AN102" s="69" t="s">
        <v>23</v>
      </c>
      <c r="AO102" s="70"/>
      <c r="AP102" s="23"/>
    </row>
    <row r="103" spans="31:42" ht="12.75">
      <c r="AE103" s="39">
        <v>0</v>
      </c>
      <c r="AF103" s="39">
        <v>1000000</v>
      </c>
      <c r="AG103" s="40">
        <v>19275</v>
      </c>
      <c r="AH103" s="41">
        <v>0</v>
      </c>
      <c r="AI103" s="39">
        <v>0</v>
      </c>
      <c r="AJ103" s="65">
        <f>ROUND(AH102*((AF102-AE102)*1000)+AG102,0)</f>
        <v>0</v>
      </c>
      <c r="AK103" s="34">
        <f>IF(AG94&gt;$AF$103,0,AG103)</f>
        <v>19275</v>
      </c>
      <c r="AN103" s="40">
        <v>19000</v>
      </c>
      <c r="AO103" s="41">
        <v>0</v>
      </c>
      <c r="AP103" s="23"/>
    </row>
    <row r="104" spans="31:43" ht="12.75" customHeight="1">
      <c r="AE104" s="39">
        <v>1000000</v>
      </c>
      <c r="AF104" s="39">
        <v>10000000</v>
      </c>
      <c r="AG104" s="40">
        <v>19275</v>
      </c>
      <c r="AH104" s="41">
        <v>3.842E-06</v>
      </c>
      <c r="AI104" s="39">
        <v>1000000</v>
      </c>
      <c r="AJ104" s="65">
        <f>ROUND(AH103*((AF103-AE103)*1000)+AG103,0)</f>
        <v>19275</v>
      </c>
      <c r="AK104" s="34">
        <f>IF(OR(AG$94&lt;=$AE104,AG$94&gt;$AF104),0,(+$AG104+($AH104*(AG$94-$AI104)*1000)))</f>
        <v>0</v>
      </c>
      <c r="AN104" s="40">
        <v>19000</v>
      </c>
      <c r="AO104" s="41">
        <v>3.785E-06</v>
      </c>
      <c r="AP104" s="66">
        <f>ROUND(AO104*AP$101,9)</f>
        <v>3.842E-06</v>
      </c>
      <c r="AQ104" s="67">
        <f>ROUND(AO104*AP101,9)</f>
        <v>3.842E-06</v>
      </c>
    </row>
    <row r="105" spans="31:42" ht="12.75">
      <c r="AE105" s="39">
        <v>10000000</v>
      </c>
      <c r="AF105" s="39">
        <v>100000000</v>
      </c>
      <c r="AG105" s="40">
        <f>AJ105</f>
        <v>53853</v>
      </c>
      <c r="AH105" s="41">
        <v>6.44E-07</v>
      </c>
      <c r="AI105" s="39">
        <v>10000000</v>
      </c>
      <c r="AJ105" s="65">
        <f>ROUND(AH104*((AF104-AE104)*1000)+AG104,0)</f>
        <v>53853</v>
      </c>
      <c r="AK105" s="34">
        <f>IF(OR(AG$94&lt;=$AE105,AG$94&gt;$AF105),0,(+$AG105+($AH105*(AG$94-$AI105)*1000)))</f>
        <v>0</v>
      </c>
      <c r="AN105" s="40">
        <v>53065</v>
      </c>
      <c r="AO105" s="41">
        <v>6.34E-07</v>
      </c>
      <c r="AP105" s="66">
        <f>ROUND(AO105*AP$101,9)</f>
        <v>6.44E-07</v>
      </c>
    </row>
    <row r="106" spans="31:42" ht="12.75">
      <c r="AE106" s="39">
        <v>100000000</v>
      </c>
      <c r="AF106" s="39"/>
      <c r="AG106" s="40">
        <f>AJ106</f>
        <v>111813</v>
      </c>
      <c r="AH106" s="41">
        <v>4.1E-07</v>
      </c>
      <c r="AI106" s="39">
        <v>100000000</v>
      </c>
      <c r="AJ106" s="65">
        <f>ROUND(AH105*((AF105-AE105)*1000)+AG105,0)</f>
        <v>111813</v>
      </c>
      <c r="AK106" s="34">
        <f>IF(AG$94&lt;=$AE106,0,(+$AG106+($AH106*(AG$94-$AI106)*1000)))</f>
        <v>0</v>
      </c>
      <c r="AN106" s="40">
        <v>110125</v>
      </c>
      <c r="AO106" s="41">
        <v>4.04E-07</v>
      </c>
      <c r="AP106" s="66">
        <f>ROUND(AO106*AP$101,9)</f>
        <v>4.1E-07</v>
      </c>
    </row>
    <row r="107" spans="31:37" ht="12.75">
      <c r="AE107" s="38"/>
      <c r="AF107" s="38"/>
      <c r="AG107" s="38"/>
      <c r="AH107" s="43"/>
      <c r="AI107" s="43"/>
      <c r="AJ107" s="37"/>
      <c r="AK107" s="37"/>
    </row>
    <row r="113" ht="18">
      <c r="AO113" s="50" t="s">
        <v>27</v>
      </c>
    </row>
    <row r="115" ht="12.75">
      <c r="AQ115" s="45"/>
    </row>
    <row r="116" spans="40:45" ht="12.75">
      <c r="AN116" s="30" t="s">
        <v>5</v>
      </c>
      <c r="AO116" s="24"/>
      <c r="AP116" s="27">
        <f>H17</f>
        <v>0</v>
      </c>
      <c r="AQ116" s="32"/>
      <c r="AR116" s="24"/>
      <c r="AS116" s="24"/>
    </row>
    <row r="117" spans="40:45" ht="12.75">
      <c r="AN117" s="30" t="s">
        <v>7</v>
      </c>
      <c r="AO117" s="24"/>
      <c r="AP117" s="27">
        <f>SUM($AR$125:$AR$128)</f>
        <v>41100</v>
      </c>
      <c r="AQ117" s="34">
        <f>AP117*2</f>
        <v>82200</v>
      </c>
      <c r="AR117" s="35">
        <f>IF(F22=0,0,IF($H$8=3,AQ117*0.5,IF($H$8=4,AQ117*1,IF($H$8=5,AQ117*1,0))))</f>
        <v>0</v>
      </c>
      <c r="AS117" s="24"/>
    </row>
    <row r="118" spans="40:45" ht="12.75">
      <c r="AN118" s="24"/>
      <c r="AO118" s="24"/>
      <c r="AP118" s="27"/>
      <c r="AQ118" s="27">
        <f>AQ117*0.88</f>
        <v>72336</v>
      </c>
      <c r="AR118" s="24"/>
      <c r="AS118" s="24"/>
    </row>
    <row r="119" spans="40:45" ht="12.75">
      <c r="AN119" s="24" t="s">
        <v>6</v>
      </c>
      <c r="AO119" s="24"/>
      <c r="AP119" s="27">
        <v>1</v>
      </c>
      <c r="AQ119" s="34"/>
      <c r="AR119" s="24"/>
      <c r="AS119" s="24"/>
    </row>
    <row r="120" spans="40:45" ht="12.75">
      <c r="AN120" s="24"/>
      <c r="AO120" s="24"/>
      <c r="AP120" s="27"/>
      <c r="AQ120" s="24"/>
      <c r="AR120" s="24"/>
      <c r="AS120" s="24"/>
    </row>
    <row r="121" spans="40:45" ht="12.75">
      <c r="AN121" s="37"/>
      <c r="AO121" s="37"/>
      <c r="AP121" s="51"/>
      <c r="AQ121" s="37"/>
      <c r="AR121" s="24"/>
      <c r="AS121" s="24"/>
    </row>
    <row r="122" spans="40:45" ht="12.75">
      <c r="AN122" s="76" t="s">
        <v>0</v>
      </c>
      <c r="AO122" s="76" t="s">
        <v>1</v>
      </c>
      <c r="AP122" s="71" t="s">
        <v>2</v>
      </c>
      <c r="AQ122" s="54"/>
      <c r="AR122" s="24"/>
      <c r="AS122" s="24"/>
    </row>
    <row r="123" spans="40:49" ht="12.75" customHeight="1">
      <c r="AN123" s="77"/>
      <c r="AO123" s="77"/>
      <c r="AP123" s="72"/>
      <c r="AQ123" s="55"/>
      <c r="AR123" s="24"/>
      <c r="AS123" s="24"/>
      <c r="AW123" s="23">
        <v>1.015</v>
      </c>
    </row>
    <row r="124" spans="40:48" ht="12.75">
      <c r="AN124" s="38"/>
      <c r="AO124" s="38"/>
      <c r="AP124" s="52"/>
      <c r="AQ124" s="56"/>
      <c r="AR124" s="24"/>
      <c r="AS124" s="24"/>
      <c r="AU124" s="69" t="s">
        <v>23</v>
      </c>
      <c r="AV124" s="70"/>
    </row>
    <row r="125" spans="40:49" ht="12.75">
      <c r="AN125" s="39">
        <v>0</v>
      </c>
      <c r="AO125" s="39">
        <v>100000</v>
      </c>
      <c r="AP125" s="53">
        <v>41100</v>
      </c>
      <c r="AQ125" s="57"/>
      <c r="AR125" s="34">
        <f>IF(AP116&lt;=$AO$125,AP125,0)</f>
        <v>41100</v>
      </c>
      <c r="AU125" s="40">
        <v>40500</v>
      </c>
      <c r="AV125" s="41">
        <v>0</v>
      </c>
      <c r="AW125" s="25">
        <f>ROUND(AU125*AW$123,0)</f>
        <v>41108</v>
      </c>
    </row>
    <row r="126" spans="40:50" ht="12.75">
      <c r="AN126" s="39">
        <v>100000</v>
      </c>
      <c r="AO126" s="39">
        <v>1000000</v>
      </c>
      <c r="AP126" s="53">
        <v>61400</v>
      </c>
      <c r="AQ126" s="57"/>
      <c r="AR126" s="34">
        <f>IF(OR(AP$116&lt;=$AN126,AP$116&gt;$AO126),0,AP126)</f>
        <v>0</v>
      </c>
      <c r="AU126" s="40">
        <v>60500</v>
      </c>
      <c r="AV126" s="41">
        <v>0</v>
      </c>
      <c r="AW126" s="25">
        <f>ROUND(AU126*AW$123,0)</f>
        <v>61408</v>
      </c>
      <c r="AX126" s="67"/>
    </row>
    <row r="127" spans="40:49" ht="12.75">
      <c r="AN127" s="39">
        <v>1000000</v>
      </c>
      <c r="AO127" s="39">
        <v>5000000</v>
      </c>
      <c r="AP127" s="53">
        <v>82200</v>
      </c>
      <c r="AQ127" s="57"/>
      <c r="AR127" s="34">
        <f>IF(OR(AP$116&lt;=$AN127,AP$116&gt;$AO127),0,AP127)</f>
        <v>0</v>
      </c>
      <c r="AU127" s="40">
        <v>81000</v>
      </c>
      <c r="AV127" s="41">
        <v>0</v>
      </c>
      <c r="AW127" s="25">
        <f>ROUND(AU127*AW$123,0)</f>
        <v>82215</v>
      </c>
    </row>
    <row r="128" spans="40:49" ht="12.75">
      <c r="AN128" s="39">
        <v>5000000</v>
      </c>
      <c r="AO128" s="39"/>
      <c r="AP128" s="53">
        <v>102500</v>
      </c>
      <c r="AQ128" s="57"/>
      <c r="AR128" s="34">
        <f>IF(AP$116&lt;=$AN128,0,AP128)</f>
        <v>0</v>
      </c>
      <c r="AU128" s="40">
        <v>101000</v>
      </c>
      <c r="AV128" s="41">
        <v>0</v>
      </c>
      <c r="AW128" s="25">
        <f>ROUND(AU128*AW$123,0)</f>
        <v>102515</v>
      </c>
    </row>
    <row r="129" ht="12.75">
      <c r="AW129" s="68"/>
    </row>
  </sheetData>
  <sheetProtection password="DF85" sheet="1" objects="1" scenarios="1"/>
  <mergeCells count="33">
    <mergeCell ref="Y74:Y75"/>
    <mergeCell ref="X74:X75"/>
    <mergeCell ref="AI100:AI101"/>
    <mergeCell ref="AD76:AE76"/>
    <mergeCell ref="B2:I4"/>
    <mergeCell ref="F19:F21"/>
    <mergeCell ref="C10:G11"/>
    <mergeCell ref="C8:F8"/>
    <mergeCell ref="C13:G14"/>
    <mergeCell ref="C19:D19"/>
    <mergeCell ref="C20:C21"/>
    <mergeCell ref="D20:D21"/>
    <mergeCell ref="G19:G21"/>
    <mergeCell ref="AO122:AO123"/>
    <mergeCell ref="H19:H21"/>
    <mergeCell ref="M49:M50"/>
    <mergeCell ref="E19:E21"/>
    <mergeCell ref="AN122:AN123"/>
    <mergeCell ref="AH100:AH101"/>
    <mergeCell ref="Q49:Q50"/>
    <mergeCell ref="N49:N50"/>
    <mergeCell ref="O49:O50"/>
    <mergeCell ref="P49:P50"/>
    <mergeCell ref="AN102:AO102"/>
    <mergeCell ref="AU124:AV124"/>
    <mergeCell ref="AP122:AP123"/>
    <mergeCell ref="C16:G17"/>
    <mergeCell ref="AE100:AE101"/>
    <mergeCell ref="AF100:AF101"/>
    <mergeCell ref="AG100:AG101"/>
    <mergeCell ref="U74:U75"/>
    <mergeCell ref="V74:V75"/>
    <mergeCell ref="W74:W75"/>
  </mergeCells>
  <printOptions/>
  <pageMargins left="1.07" right="0.75" top="1.38" bottom="1" header="0.5" footer="0.5"/>
  <pageSetup horizontalDpi="300" verticalDpi="3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Halper</dc:creator>
  <cp:keywords/>
  <dc:description/>
  <cp:lastModifiedBy>Bruce Halper</cp:lastModifiedBy>
  <cp:lastPrinted>2003-02-04T21:11:38Z</cp:lastPrinted>
  <dcterms:created xsi:type="dcterms:W3CDTF">2000-11-20T15:42:02Z</dcterms:created>
  <dcterms:modified xsi:type="dcterms:W3CDTF">2003-12-02T13:32:59Z</dcterms:modified>
  <cp:category/>
  <cp:version/>
  <cp:contentType/>
  <cp:contentStatus/>
</cp:coreProperties>
</file>